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740" tabRatio="859" activeTab="0"/>
  </bookViews>
  <sheets>
    <sheet name="31.12.2017" sheetId="1" r:id="rId1"/>
  </sheets>
  <definedNames/>
  <calcPr fullCalcOnLoad="1"/>
</workbook>
</file>

<file path=xl/sharedStrings.xml><?xml version="1.0" encoding="utf-8"?>
<sst xmlns="http://schemas.openxmlformats.org/spreadsheetml/2006/main" count="303" uniqueCount="185">
  <si>
    <t>Поступило, руб.</t>
  </si>
  <si>
    <t>№п</t>
  </si>
  <si>
    <t>Осталось, руб.</t>
  </si>
  <si>
    <t>Доходы:</t>
  </si>
  <si>
    <t>начисления за нежилые помещения, провайдеров и прочее</t>
  </si>
  <si>
    <t>Итого:</t>
  </si>
  <si>
    <t>Расходы:</t>
  </si>
  <si>
    <t>фонд оплаты труда, в т.ч. НДФЛ: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</si>
  <si>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</si>
  <si>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</si>
  <si>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</si>
  <si>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</si>
  <si>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</si>
  <si>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</si>
  <si>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</si>
  <si>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</si>
  <si>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</si>
  <si>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</si>
  <si>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</si>
  <si>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премиальный фонд, в т.ч. НДФЛ:</t>
  </si>
  <si>
    <t xml:space="preserve">декабрь </t>
  </si>
  <si>
    <t>договора оказания услуг (физ.лица), в т.ч. НДФЛ</t>
  </si>
  <si>
    <t>декабрь</t>
  </si>
  <si>
    <t>налоги при УСН (доходы-расходы 15 %)</t>
  </si>
  <si>
    <t>1 квартал</t>
  </si>
  <si>
    <t>услуги банка:</t>
  </si>
  <si>
    <t>связь:</t>
  </si>
  <si>
    <t>январь ростелеком</t>
  </si>
  <si>
    <t>февраль ростелеком</t>
  </si>
  <si>
    <t>февраль сотовый</t>
  </si>
  <si>
    <t>март ростелеком</t>
  </si>
  <si>
    <t>март сотовый</t>
  </si>
  <si>
    <t>апрель ростелеком</t>
  </si>
  <si>
    <t>май сотовый</t>
  </si>
  <si>
    <t>май ростелеком</t>
  </si>
  <si>
    <t>июнь ростелеком</t>
  </si>
  <si>
    <t>июнь сотовый</t>
  </si>
  <si>
    <t>июль сотовый</t>
  </si>
  <si>
    <t>август ростелеком</t>
  </si>
  <si>
    <t>август сотовый</t>
  </si>
  <si>
    <t>октябрь сотовый</t>
  </si>
  <si>
    <t>октябрь ростелеком</t>
  </si>
  <si>
    <t>ноябрь сотовый</t>
  </si>
  <si>
    <t>ноябрь ростелеком</t>
  </si>
  <si>
    <t>декабрь ростелеком</t>
  </si>
  <si>
    <t>услуги аварийной службы:</t>
  </si>
  <si>
    <t>хозтовары, инвентарь:</t>
  </si>
  <si>
    <t>канцтовары, обслуживание оргтехники:</t>
  </si>
  <si>
    <t>юридические услуги:</t>
  </si>
  <si>
    <t>услуги ИВЦ "Северный"</t>
  </si>
  <si>
    <t>5</t>
  </si>
  <si>
    <t>Ремонтные работы:</t>
  </si>
  <si>
    <t>Инженерных коммуникаций дома:</t>
  </si>
  <si>
    <t>Электрической сети.</t>
  </si>
  <si>
    <t>Благоустройство дома</t>
  </si>
  <si>
    <t>Благоустройство дворовой территории.</t>
  </si>
  <si>
    <t>Утилизация энергосберегающих ламп</t>
  </si>
  <si>
    <t>Очистка и покраска бордюров</t>
  </si>
  <si>
    <t>Побелка деревьев</t>
  </si>
  <si>
    <t>6</t>
  </si>
  <si>
    <t>Непредвиденные расходы</t>
  </si>
  <si>
    <t>Остаток п/отчета</t>
  </si>
  <si>
    <t>Главный бухгалтер</t>
  </si>
  <si>
    <t>Приобретение огнетушителей</t>
  </si>
  <si>
    <t>Покраска мусорных контейнеров</t>
  </si>
  <si>
    <t>Проведение праздника двора: к Дню защиты детей, 1 сентября, к Новому году</t>
  </si>
  <si>
    <t>январь сотовая</t>
  </si>
  <si>
    <t>услуги почтовой связи</t>
  </si>
  <si>
    <t>Покупка рассады цветов, саженцев деревьев, кустарников, материалы для ухода за зелеными насаждениями</t>
  </si>
  <si>
    <t>Денежные средства</t>
  </si>
  <si>
    <t>июль ростелеком</t>
  </si>
  <si>
    <t>Ковалева Л.И.</t>
  </si>
  <si>
    <t>апрель сотовый</t>
  </si>
  <si>
    <t>транспортные расходы</t>
  </si>
  <si>
    <t>страхование лифтов, ответственности</t>
  </si>
  <si>
    <t>Приобретение предохранителей пакетных переключателей вводно-распределительных щитов и устройств</t>
  </si>
  <si>
    <t>Текущий ремонт электропроводки в подвалах, на техэтажах и в подъездах жилого дома, устранение неисправностей, установка плафонов, эл.патронов, выключателей, эл.ламп</t>
  </si>
  <si>
    <t>Остекление и закрытие слуховых окон в подвалах</t>
  </si>
  <si>
    <t>сентябрь ростелеком</t>
  </si>
  <si>
    <t>сентябрь сотовый</t>
  </si>
  <si>
    <t>Площадь 25127,2 м2</t>
  </si>
  <si>
    <t>Завоз песка для посыпки тротуаров в зимнее время года и для приведения подвалов в санитарно-техническое состояние, на детскую площадку</t>
  </si>
  <si>
    <t>Израсходовано, руб.</t>
  </si>
  <si>
    <t>Перевод средств между счетами</t>
  </si>
  <si>
    <t>1 полугодие авансовый</t>
  </si>
  <si>
    <t>9 месяцев авансовый</t>
  </si>
  <si>
    <t>дератизация, дезинсекция</t>
  </si>
  <si>
    <t>1</t>
  </si>
  <si>
    <t>2</t>
  </si>
  <si>
    <t>3</t>
  </si>
  <si>
    <t>4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</si>
  <si>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</si>
  <si>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</si>
  <si>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</si>
  <si>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</si>
  <si>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</si>
  <si>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</si>
  <si>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</si>
  <si>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</si>
  <si>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</si>
  <si>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</si>
  <si>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диагностика системы вентиляции</t>
  </si>
  <si>
    <t>19</t>
  </si>
  <si>
    <t>19.1</t>
  </si>
  <si>
    <t>19.2</t>
  </si>
  <si>
    <t>19.3</t>
  </si>
  <si>
    <t>19.4</t>
  </si>
  <si>
    <t>19.5</t>
  </si>
  <si>
    <t>Замена манометров, термометров в системе отопления</t>
  </si>
  <si>
    <t>20</t>
  </si>
  <si>
    <t>20.1</t>
  </si>
  <si>
    <t>20.2</t>
  </si>
  <si>
    <t>20.3</t>
  </si>
  <si>
    <t>Установка светодиодных светильников на лестничных площадках</t>
  </si>
  <si>
    <t>21</t>
  </si>
  <si>
    <t>21.1</t>
  </si>
  <si>
    <t>21.2</t>
  </si>
  <si>
    <t>21.3</t>
  </si>
  <si>
    <t>21.4</t>
  </si>
  <si>
    <t>21.5</t>
  </si>
  <si>
    <t>21.6</t>
  </si>
  <si>
    <t>21.7</t>
  </si>
  <si>
    <t>22</t>
  </si>
  <si>
    <t>22.1</t>
  </si>
  <si>
    <t>22.2</t>
  </si>
  <si>
    <t>22.3</t>
  </si>
  <si>
    <t>22.4</t>
  </si>
  <si>
    <t>22.5</t>
  </si>
  <si>
    <t>22.6</t>
  </si>
  <si>
    <t>22.7</t>
  </si>
  <si>
    <t>22.8</t>
  </si>
  <si>
    <t>22.9</t>
  </si>
  <si>
    <t>23</t>
  </si>
  <si>
    <t>Расчет с поставщиками коммунальных ресурсов</t>
  </si>
  <si>
    <t>24</t>
  </si>
  <si>
    <t>25</t>
  </si>
  <si>
    <t>вывоз ТКО</t>
  </si>
  <si>
    <t>Запланировано, руб.</t>
  </si>
  <si>
    <t>декабрь сотовый</t>
  </si>
  <si>
    <t>Входящий остаток на 01.01.2017г., руб.</t>
  </si>
  <si>
    <t>Отчисления на социальное страхование</t>
  </si>
  <si>
    <t>вывоз КГМ</t>
  </si>
  <si>
    <t>17</t>
  </si>
  <si>
    <t>18</t>
  </si>
  <si>
    <t>начисления за содержание и ремонт жилья, вывоз ТКО</t>
  </si>
  <si>
    <t>Итого израсходовано по статьям</t>
  </si>
  <si>
    <t>ПАО "Квадра-Воронежская генерация"</t>
  </si>
  <si>
    <t>ПАО "ТНС-энерго Воронеж"</t>
  </si>
  <si>
    <t>ООО "РВК-Воронеж"</t>
  </si>
  <si>
    <t>пени</t>
  </si>
  <si>
    <t>Поступило на расчетный счет, руб.</t>
  </si>
  <si>
    <t>Списано с расчетного счета, руб.</t>
  </si>
  <si>
    <t>Частичная замена труб канализации  в подвалах подъездов и в квартирах собственников</t>
  </si>
  <si>
    <t>пандусы</t>
  </si>
  <si>
    <t>Косметический ремонт площадок на первом этаже в подъездах № 1-8 (покраска стен, установка почтовых ящиков)</t>
  </si>
  <si>
    <t>коврики, светильник</t>
  </si>
  <si>
    <t>Отчет по смете доходов и расходов ТСЖ "Московский 94" на 31.12.2018 г.</t>
  </si>
  <si>
    <t>Осталось на 31.12.2018г., руб.</t>
  </si>
  <si>
    <t>Водопроводная сеть. Ревизия, ремонт, замена запорной арматуры для холодного водоснабжения, горячего водоснабжения в подвалах и на техэтажах подъездов</t>
  </si>
  <si>
    <t>Ревизия, ремонт, частичная замена запорной арматуры трубопроводов отопления, задвижки D150</t>
  </si>
  <si>
    <t>Частичная замена труб отопления, устранение хомутов и свищей на трубопроводах</t>
  </si>
  <si>
    <t>Ямочный ремонт асфальтового покрытия дворовой территории S= 80,0 кв.м</t>
  </si>
  <si>
    <t xml:space="preserve">Установка, ремонт и покраска ограждений </t>
  </si>
  <si>
    <t>Установка столба для видеокамеры на детской площадке</t>
  </si>
  <si>
    <t>Ремонт межпанельных швов 200п.м</t>
  </si>
  <si>
    <t>Ремонт отмостки дома и ступеней входных групп</t>
  </si>
  <si>
    <t>Замена несущих канатов лифтов</t>
  </si>
  <si>
    <t>Возмещение кв. 301</t>
  </si>
  <si>
    <t>26</t>
  </si>
  <si>
    <t>возмещение судебных расходов</t>
  </si>
  <si>
    <t>возврат от поставщика; переплаты взносов в ПФР</t>
  </si>
  <si>
    <t>режимник</t>
  </si>
  <si>
    <t>запч. д/газонокос</t>
  </si>
  <si>
    <t>ремонт газонокос.</t>
  </si>
  <si>
    <t>антивирус</t>
  </si>
  <si>
    <t>поручень</t>
  </si>
  <si>
    <t>бланки</t>
  </si>
  <si>
    <t>СБИС</t>
  </si>
  <si>
    <t>Ремонт мягкой кровли площадью 180кв.м подъезда №6</t>
  </si>
  <si>
    <t>ам-пломбы, цирк. насосы и запчасти для установки</t>
  </si>
  <si>
    <t>Остаток на спецсчете капремонта на 30.11.2018</t>
  </si>
  <si>
    <t>Тариф 11,00 руб./кв.м</t>
  </si>
  <si>
    <t>электропривод к тепловому насосу, установка</t>
  </si>
  <si>
    <t>микрофонная станция</t>
  </si>
  <si>
    <t>окна пластиковые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</si>
</sst>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 Cyr"/>
      <family val="2"/>
    </font>
    <font>
      <b/>
      <sz val="10"/>
      <name val="Arial Cyr"/>
      <family val="2"/>
    </font>
    <font>
      <b/>
      <sz val="11"/>
      <name val="Arial Cyr"/>
      <family val="2"/>
    </font>
    <font>
      <b/>
      <u val="single"/>
      <sz val="12"/>
      <name val="Arial Cyr"/>
      <family val="2"/>
    </font>
    <font>
      <b/>
      <u val="single"/>
      <sz val="10"/>
      <name val="Arial Cyr"/>
      <family val="2"/>
    </font>
    <font>
      <sz val="14"/>
      <name val="Arial Cyr"/>
      <family val="2"/>
    </font>
    <font>
      <sz val="10"/>
      <name val="Arial Cyr"/>
      <family val="0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i/>
      <sz val="11"/>
      <color indexed="8"/>
      <name val="Calibri"/>
      <family val="2"/>
    </font>
    <font>
      <sz val="10"/>
      <name val="Calibri"/>
      <family val="2"/>
    </font>
    <font>
      <i/>
      <sz val="14"/>
      <color indexed="8"/>
      <name val="Calibri"/>
      <family val="2"/>
    </font>
    <font>
      <b/>
      <sz val="10"/>
      <color indexed="8"/>
      <name val="Arial"/>
      <family val="2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b/>
      <i/>
      <sz val="11"/>
      <color theme="1"/>
      <name val="Calibri"/>
      <family val="2"/>
    </font>
    <font>
      <i/>
      <sz val="14"/>
      <color theme="1"/>
      <name val="Calibri"/>
      <family val="2"/>
    </font>
    <font>
      <b/>
      <sz val="10"/>
      <color theme="1"/>
      <name val="Arial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18">
    <xf numFmtId="0" fontId="0" fillId="0" borderId="0" xfId="0" applyFont="1" applyAlignment="1">
      <alignment/>
    </xf>
    <xf numFmtId="0" fontId="0" fillId="33" borderId="10" xfId="0" applyFill="1" applyBorder="1" applyAlignment="1">
      <alignment horizontal="left"/>
    </xf>
    <xf numFmtId="0" fontId="0" fillId="33" borderId="11" xfId="0" applyFill="1" applyBorder="1" applyAlignment="1">
      <alignment/>
    </xf>
    <xf numFmtId="0" fontId="3" fillId="33" borderId="11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0" fillId="33" borderId="11" xfId="0" applyFill="1" applyBorder="1" applyAlignment="1">
      <alignment horizontal="right"/>
    </xf>
    <xf numFmtId="0" fontId="4" fillId="33" borderId="11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2" fontId="0" fillId="0" borderId="0" xfId="0" applyNumberFormat="1" applyAlignment="1">
      <alignment/>
    </xf>
    <xf numFmtId="0" fontId="5" fillId="33" borderId="11" xfId="0" applyFont="1" applyFill="1" applyBorder="1" applyAlignment="1">
      <alignment horizontal="center"/>
    </xf>
    <xf numFmtId="0" fontId="0" fillId="33" borderId="11" xfId="0" applyFont="1" applyFill="1" applyBorder="1" applyAlignment="1">
      <alignment wrapText="1"/>
    </xf>
    <xf numFmtId="0" fontId="6" fillId="33" borderId="11" xfId="0" applyFont="1" applyFill="1" applyBorder="1" applyAlignment="1">
      <alignment horizontal="right"/>
    </xf>
    <xf numFmtId="0" fontId="0" fillId="0" borderId="0" xfId="0" applyNumberFormat="1" applyAlignment="1">
      <alignment/>
    </xf>
    <xf numFmtId="0" fontId="3" fillId="34" borderId="11" xfId="0" applyFont="1" applyFill="1" applyBorder="1" applyAlignment="1">
      <alignment/>
    </xf>
    <xf numFmtId="49" fontId="0" fillId="33" borderId="11" xfId="0" applyNumberFormat="1" applyFill="1" applyBorder="1" applyAlignment="1">
      <alignment horizontal="right"/>
    </xf>
    <xf numFmtId="0" fontId="0" fillId="33" borderId="11" xfId="0" applyFont="1" applyFill="1" applyBorder="1" applyAlignment="1">
      <alignment/>
    </xf>
    <xf numFmtId="0" fontId="3" fillId="34" borderId="11" xfId="0" applyFont="1" applyFill="1" applyBorder="1" applyAlignment="1">
      <alignment wrapText="1"/>
    </xf>
    <xf numFmtId="0" fontId="2" fillId="33" borderId="11" xfId="0" applyFont="1" applyFill="1" applyBorder="1" applyAlignment="1">
      <alignment/>
    </xf>
    <xf numFmtId="0" fontId="0" fillId="0" borderId="0" xfId="0" applyBorder="1" applyAlignment="1">
      <alignment/>
    </xf>
    <xf numFmtId="4" fontId="3" fillId="33" borderId="12" xfId="0" applyNumberFormat="1" applyFont="1" applyFill="1" applyBorder="1" applyAlignment="1">
      <alignment/>
    </xf>
    <xf numFmtId="4" fontId="3" fillId="35" borderId="12" xfId="0" applyNumberFormat="1" applyFont="1" applyFill="1" applyBorder="1" applyAlignment="1">
      <alignment/>
    </xf>
    <xf numFmtId="0" fontId="0" fillId="33" borderId="11" xfId="0" applyFill="1" applyBorder="1" applyAlignment="1">
      <alignment wrapText="1"/>
    </xf>
    <xf numFmtId="0" fontId="44" fillId="33" borderId="11" xfId="0" applyFont="1" applyFill="1" applyBorder="1" applyAlignment="1">
      <alignment/>
    </xf>
    <xf numFmtId="0" fontId="0" fillId="36" borderId="11" xfId="0" applyFill="1" applyBorder="1" applyAlignment="1">
      <alignment/>
    </xf>
    <xf numFmtId="0" fontId="0" fillId="36" borderId="11" xfId="0" applyFill="1" applyBorder="1" applyAlignment="1">
      <alignment horizontal="right"/>
    </xf>
    <xf numFmtId="0" fontId="0" fillId="33" borderId="12" xfId="0" applyFont="1" applyFill="1" applyBorder="1" applyAlignment="1">
      <alignment wrapText="1"/>
    </xf>
    <xf numFmtId="4" fontId="0" fillId="33" borderId="12" xfId="0" applyNumberFormat="1" applyFill="1" applyBorder="1" applyAlignment="1">
      <alignment/>
    </xf>
    <xf numFmtId="4" fontId="0" fillId="37" borderId="13" xfId="0" applyNumberFormat="1" applyFill="1" applyBorder="1" applyAlignment="1">
      <alignment/>
    </xf>
    <xf numFmtId="49" fontId="44" fillId="34" borderId="11" xfId="0" applyNumberFormat="1" applyFont="1" applyFill="1" applyBorder="1" applyAlignment="1">
      <alignment horizontal="right"/>
    </xf>
    <xf numFmtId="0" fontId="53" fillId="0" borderId="13" xfId="0" applyFont="1" applyFill="1" applyBorder="1" applyAlignment="1">
      <alignment wrapText="1"/>
    </xf>
    <xf numFmtId="0" fontId="54" fillId="0" borderId="13" xfId="0" applyFont="1" applyBorder="1" applyAlignment="1">
      <alignment wrapText="1"/>
    </xf>
    <xf numFmtId="0" fontId="53" fillId="0" borderId="13" xfId="0" applyFont="1" applyBorder="1" applyAlignment="1">
      <alignment/>
    </xf>
    <xf numFmtId="0" fontId="54" fillId="0" borderId="13" xfId="0" applyFont="1" applyBorder="1" applyAlignment="1">
      <alignment/>
    </xf>
    <xf numFmtId="49" fontId="0" fillId="38" borderId="11" xfId="0" applyNumberFormat="1" applyFill="1" applyBorder="1" applyAlignment="1">
      <alignment horizontal="right"/>
    </xf>
    <xf numFmtId="49" fontId="44" fillId="33" borderId="11" xfId="0" applyNumberFormat="1" applyFont="1" applyFill="1" applyBorder="1" applyAlignment="1">
      <alignment horizontal="right"/>
    </xf>
    <xf numFmtId="49" fontId="44" fillId="38" borderId="11" xfId="0" applyNumberFormat="1" applyFont="1" applyFill="1" applyBorder="1" applyAlignment="1">
      <alignment horizontal="right"/>
    </xf>
    <xf numFmtId="0" fontId="44" fillId="33" borderId="11" xfId="0" applyFont="1" applyFill="1" applyBorder="1" applyAlignment="1">
      <alignment wrapText="1"/>
    </xf>
    <xf numFmtId="2" fontId="0" fillId="0" borderId="0" xfId="0" applyNumberFormat="1" applyBorder="1" applyAlignment="1">
      <alignment/>
    </xf>
    <xf numFmtId="2" fontId="54" fillId="33" borderId="13" xfId="0" applyNumberFormat="1" applyFont="1" applyFill="1" applyBorder="1" applyAlignment="1">
      <alignment wrapText="1"/>
    </xf>
    <xf numFmtId="0" fontId="53" fillId="33" borderId="13" xfId="0" applyFont="1" applyFill="1" applyBorder="1" applyAlignment="1">
      <alignment wrapText="1"/>
    </xf>
    <xf numFmtId="0" fontId="53" fillId="0" borderId="13" xfId="0" applyFont="1" applyBorder="1" applyAlignment="1">
      <alignment wrapText="1"/>
    </xf>
    <xf numFmtId="0" fontId="3" fillId="33" borderId="12" xfId="0" applyFont="1" applyFill="1" applyBorder="1" applyAlignment="1">
      <alignment horizontal="left" wrapText="1"/>
    </xf>
    <xf numFmtId="0" fontId="3" fillId="36" borderId="12" xfId="0" applyFont="1" applyFill="1" applyBorder="1" applyAlignment="1">
      <alignment/>
    </xf>
    <xf numFmtId="0" fontId="5" fillId="33" borderId="12" xfId="0" applyFont="1" applyFill="1" applyBorder="1" applyAlignment="1">
      <alignment horizontal="center"/>
    </xf>
    <xf numFmtId="0" fontId="0" fillId="33" borderId="12" xfId="0" applyFill="1" applyBorder="1" applyAlignment="1">
      <alignment/>
    </xf>
    <xf numFmtId="0" fontId="6" fillId="33" borderId="12" xfId="0" applyFont="1" applyFill="1" applyBorder="1" applyAlignment="1">
      <alignment horizontal="right"/>
    </xf>
    <xf numFmtId="4" fontId="0" fillId="33" borderId="12" xfId="0" applyNumberFormat="1" applyFont="1" applyFill="1" applyBorder="1" applyAlignment="1">
      <alignment/>
    </xf>
    <xf numFmtId="4" fontId="3" fillId="34" borderId="12" xfId="0" applyNumberFormat="1" applyFont="1" applyFill="1" applyBorder="1" applyAlignment="1">
      <alignment wrapText="1"/>
    </xf>
    <xf numFmtId="0" fontId="0" fillId="33" borderId="12" xfId="0" applyFont="1" applyFill="1" applyBorder="1" applyAlignment="1">
      <alignment/>
    </xf>
    <xf numFmtId="4" fontId="5" fillId="33" borderId="12" xfId="0" applyNumberFormat="1" applyFont="1" applyFill="1" applyBorder="1" applyAlignment="1">
      <alignment horizontal="center"/>
    </xf>
    <xf numFmtId="4" fontId="0" fillId="33" borderId="12" xfId="0" applyNumberFormat="1" applyFont="1" applyFill="1" applyBorder="1" applyAlignment="1">
      <alignment wrapText="1"/>
    </xf>
    <xf numFmtId="0" fontId="3" fillId="33" borderId="13" xfId="0" applyFont="1" applyFill="1" applyBorder="1" applyAlignment="1">
      <alignment/>
    </xf>
    <xf numFmtId="4" fontId="3" fillId="33" borderId="13" xfId="0" applyNumberFormat="1" applyFont="1" applyFill="1" applyBorder="1" applyAlignment="1">
      <alignment/>
    </xf>
    <xf numFmtId="4" fontId="3" fillId="39" borderId="13" xfId="0" applyNumberFormat="1" applyFont="1" applyFill="1" applyBorder="1" applyAlignment="1">
      <alignment/>
    </xf>
    <xf numFmtId="2" fontId="3" fillId="36" borderId="13" xfId="0" applyNumberFormat="1" applyFont="1" applyFill="1" applyBorder="1" applyAlignment="1">
      <alignment/>
    </xf>
    <xf numFmtId="0" fontId="4" fillId="33" borderId="13" xfId="0" applyFont="1" applyFill="1" applyBorder="1" applyAlignment="1">
      <alignment/>
    </xf>
    <xf numFmtId="4" fontId="55" fillId="37" borderId="13" xfId="0" applyNumberFormat="1" applyFont="1" applyFill="1" applyBorder="1" applyAlignment="1">
      <alignment/>
    </xf>
    <xf numFmtId="4" fontId="8" fillId="37" borderId="13" xfId="0" applyNumberFormat="1" applyFont="1" applyFill="1" applyBorder="1" applyAlignment="1">
      <alignment/>
    </xf>
    <xf numFmtId="4" fontId="56" fillId="37" borderId="13" xfId="0" applyNumberFormat="1" applyFont="1" applyFill="1" applyBorder="1" applyAlignment="1">
      <alignment/>
    </xf>
    <xf numFmtId="0" fontId="4" fillId="37" borderId="13" xfId="0" applyFont="1" applyFill="1" applyBorder="1" applyAlignment="1">
      <alignment/>
    </xf>
    <xf numFmtId="2" fontId="0" fillId="37" borderId="13" xfId="0" applyNumberFormat="1" applyFill="1" applyBorder="1" applyAlignment="1">
      <alignment/>
    </xf>
    <xf numFmtId="2" fontId="0" fillId="33" borderId="13" xfId="0" applyNumberFormat="1" applyFill="1" applyBorder="1" applyAlignment="1">
      <alignment/>
    </xf>
    <xf numFmtId="4" fontId="3" fillId="35" borderId="13" xfId="0" applyNumberFormat="1" applyFont="1" applyFill="1" applyBorder="1" applyAlignment="1">
      <alignment/>
    </xf>
    <xf numFmtId="4" fontId="3" fillId="37" borderId="13" xfId="0" applyNumberFormat="1" applyFont="1" applyFill="1" applyBorder="1" applyAlignment="1">
      <alignment/>
    </xf>
    <xf numFmtId="4" fontId="0" fillId="35" borderId="13" xfId="0" applyNumberFormat="1" applyFill="1" applyBorder="1" applyAlignment="1">
      <alignment/>
    </xf>
    <xf numFmtId="4" fontId="54" fillId="33" borderId="13" xfId="0" applyNumberFormat="1" applyFont="1" applyFill="1" applyBorder="1" applyAlignment="1">
      <alignment/>
    </xf>
    <xf numFmtId="4" fontId="54" fillId="33" borderId="13" xfId="0" applyNumberFormat="1" applyFont="1" applyFill="1" applyBorder="1" applyAlignment="1">
      <alignment wrapText="1"/>
    </xf>
    <xf numFmtId="4" fontId="0" fillId="35" borderId="13" xfId="0" applyNumberFormat="1" applyFont="1" applyFill="1" applyBorder="1" applyAlignment="1">
      <alignment/>
    </xf>
    <xf numFmtId="4" fontId="15" fillId="33" borderId="13" xfId="0" applyNumberFormat="1" applyFont="1" applyFill="1" applyBorder="1" applyAlignment="1">
      <alignment/>
    </xf>
    <xf numFmtId="4" fontId="0" fillId="37" borderId="13" xfId="0" applyNumberFormat="1" applyFont="1" applyFill="1" applyBorder="1" applyAlignment="1">
      <alignment/>
    </xf>
    <xf numFmtId="4" fontId="44" fillId="37" borderId="13" xfId="0" applyNumberFormat="1" applyFont="1" applyFill="1" applyBorder="1" applyAlignment="1">
      <alignment/>
    </xf>
    <xf numFmtId="4" fontId="44" fillId="35" borderId="13" xfId="0" applyNumberFormat="1" applyFont="1" applyFill="1" applyBorder="1" applyAlignment="1">
      <alignment/>
    </xf>
    <xf numFmtId="2" fontId="0" fillId="33" borderId="13" xfId="0" applyNumberFormat="1" applyFill="1" applyBorder="1" applyAlignment="1">
      <alignment wrapText="1"/>
    </xf>
    <xf numFmtId="4" fontId="0" fillId="33" borderId="13" xfId="0" applyNumberFormat="1" applyFill="1" applyBorder="1" applyAlignment="1">
      <alignment/>
    </xf>
    <xf numFmtId="2" fontId="0" fillId="37" borderId="13" xfId="0" applyNumberFormat="1" applyFill="1" applyBorder="1" applyAlignment="1">
      <alignment wrapText="1"/>
    </xf>
    <xf numFmtId="2" fontId="3" fillId="35" borderId="13" xfId="0" applyNumberFormat="1" applyFont="1" applyFill="1" applyBorder="1" applyAlignment="1">
      <alignment/>
    </xf>
    <xf numFmtId="2" fontId="53" fillId="33" borderId="13" xfId="0" applyNumberFormat="1" applyFont="1" applyFill="1" applyBorder="1" applyAlignment="1">
      <alignment wrapText="1"/>
    </xf>
    <xf numFmtId="2" fontId="53" fillId="0" borderId="13" xfId="0" applyNumberFormat="1" applyFont="1" applyFill="1" applyBorder="1" applyAlignment="1">
      <alignment wrapText="1"/>
    </xf>
    <xf numFmtId="2" fontId="44" fillId="37" borderId="13" xfId="0" applyNumberFormat="1" applyFont="1" applyFill="1" applyBorder="1" applyAlignment="1">
      <alignment/>
    </xf>
    <xf numFmtId="2" fontId="44" fillId="35" borderId="13" xfId="0" applyNumberFormat="1" applyFont="1" applyFill="1" applyBorder="1" applyAlignment="1">
      <alignment/>
    </xf>
    <xf numFmtId="4" fontId="44" fillId="35" borderId="13" xfId="0" applyNumberFormat="1" applyFont="1" applyFill="1" applyBorder="1" applyAlignment="1">
      <alignment/>
    </xf>
    <xf numFmtId="4" fontId="57" fillId="37" borderId="13" xfId="0" applyNumberFormat="1" applyFont="1" applyFill="1" applyBorder="1" applyAlignment="1">
      <alignment/>
    </xf>
    <xf numFmtId="4" fontId="0" fillId="37" borderId="13" xfId="0" applyNumberFormat="1" applyFont="1" applyFill="1" applyBorder="1" applyAlignment="1">
      <alignment wrapText="1"/>
    </xf>
    <xf numFmtId="4" fontId="53" fillId="33" borderId="13" xfId="0" applyNumberFormat="1" applyFont="1" applyFill="1" applyBorder="1" applyAlignment="1">
      <alignment wrapText="1"/>
    </xf>
    <xf numFmtId="4" fontId="0" fillId="37" borderId="13" xfId="0" applyNumberFormat="1" applyFill="1" applyBorder="1" applyAlignment="1">
      <alignment/>
    </xf>
    <xf numFmtId="4" fontId="0" fillId="37" borderId="13" xfId="0" applyNumberFormat="1" applyFont="1" applyFill="1" applyBorder="1" applyAlignment="1">
      <alignment/>
    </xf>
    <xf numFmtId="4" fontId="3" fillId="35" borderId="13" xfId="0" applyNumberFormat="1" applyFont="1" applyFill="1" applyBorder="1" applyAlignment="1">
      <alignment/>
    </xf>
    <xf numFmtId="4" fontId="0" fillId="35" borderId="13" xfId="0" applyNumberFormat="1" applyFill="1" applyBorder="1" applyAlignment="1">
      <alignment/>
    </xf>
    <xf numFmtId="2" fontId="53" fillId="33" borderId="13" xfId="0" applyNumberFormat="1" applyFont="1" applyFill="1" applyBorder="1" applyAlignment="1">
      <alignment/>
    </xf>
    <xf numFmtId="2" fontId="54" fillId="33" borderId="13" xfId="0" applyNumberFormat="1" applyFont="1" applyFill="1" applyBorder="1" applyAlignment="1">
      <alignment/>
    </xf>
    <xf numFmtId="4" fontId="44" fillId="37" borderId="13" xfId="0" applyNumberFormat="1" applyFont="1" applyFill="1" applyBorder="1" applyAlignment="1">
      <alignment/>
    </xf>
    <xf numFmtId="0" fontId="0" fillId="33" borderId="13" xfId="0" applyFill="1" applyBorder="1" applyAlignment="1">
      <alignment wrapText="1"/>
    </xf>
    <xf numFmtId="0" fontId="54" fillId="33" borderId="13" xfId="0" applyFont="1" applyFill="1" applyBorder="1" applyAlignment="1">
      <alignment wrapText="1"/>
    </xf>
    <xf numFmtId="4" fontId="58" fillId="35" borderId="13" xfId="0" applyNumberFormat="1" applyFont="1" applyFill="1" applyBorder="1" applyAlignment="1">
      <alignment/>
    </xf>
    <xf numFmtId="0" fontId="0" fillId="33" borderId="13" xfId="0" applyFill="1" applyBorder="1" applyAlignment="1">
      <alignment/>
    </xf>
    <xf numFmtId="4" fontId="0" fillId="35" borderId="13" xfId="0" applyNumberFormat="1" applyFont="1" applyFill="1" applyBorder="1" applyAlignment="1">
      <alignment/>
    </xf>
    <xf numFmtId="4" fontId="3" fillId="33" borderId="13" xfId="0" applyNumberFormat="1" applyFont="1" applyFill="1" applyBorder="1" applyAlignment="1">
      <alignment/>
    </xf>
    <xf numFmtId="4" fontId="0" fillId="33" borderId="13" xfId="0" applyNumberFormat="1" applyFill="1" applyBorder="1" applyAlignment="1">
      <alignment/>
    </xf>
    <xf numFmtId="4" fontId="0" fillId="0" borderId="0" xfId="0" applyNumberFormat="1" applyAlignment="1">
      <alignment horizontal="left"/>
    </xf>
    <xf numFmtId="0" fontId="3" fillId="33" borderId="13" xfId="0" applyFont="1" applyFill="1" applyBorder="1" applyAlignment="1">
      <alignment wrapText="1"/>
    </xf>
    <xf numFmtId="0" fontId="0" fillId="0" borderId="0" xfId="0" applyAlignment="1">
      <alignment horizontal="left"/>
    </xf>
    <xf numFmtId="4" fontId="18" fillId="35" borderId="13" xfId="0" applyNumberFormat="1" applyFont="1" applyFill="1" applyBorder="1" applyAlignment="1">
      <alignment/>
    </xf>
    <xf numFmtId="0" fontId="59" fillId="33" borderId="11" xfId="0" applyFont="1" applyFill="1" applyBorder="1" applyAlignment="1">
      <alignment wrapText="1"/>
    </xf>
    <xf numFmtId="49" fontId="60" fillId="33" borderId="11" xfId="0" applyNumberFormat="1" applyFont="1" applyFill="1" applyBorder="1" applyAlignment="1">
      <alignment horizontal="center"/>
    </xf>
    <xf numFmtId="4" fontId="59" fillId="37" borderId="13" xfId="0" applyNumberFormat="1" applyFont="1" applyFill="1" applyBorder="1" applyAlignment="1">
      <alignment/>
    </xf>
    <xf numFmtId="4" fontId="59" fillId="37" borderId="13" xfId="0" applyNumberFormat="1" applyFont="1" applyFill="1" applyBorder="1" applyAlignment="1">
      <alignment wrapText="1"/>
    </xf>
    <xf numFmtId="4" fontId="59" fillId="37" borderId="13" xfId="0" applyNumberFormat="1" applyFont="1" applyFill="1" applyBorder="1" applyAlignment="1">
      <alignment/>
    </xf>
    <xf numFmtId="49" fontId="61" fillId="34" borderId="11" xfId="0" applyNumberFormat="1" applyFont="1" applyFill="1" applyBorder="1" applyAlignment="1">
      <alignment horizontal="center"/>
    </xf>
    <xf numFmtId="4" fontId="62" fillId="0" borderId="0" xfId="0" applyNumberFormat="1" applyFont="1" applyAlignment="1">
      <alignment/>
    </xf>
    <xf numFmtId="4" fontId="0" fillId="40" borderId="13" xfId="0" applyNumberFormat="1" applyFill="1" applyBorder="1" applyAlignment="1">
      <alignment/>
    </xf>
    <xf numFmtId="4" fontId="7" fillId="41" borderId="13" xfId="0" applyNumberFormat="1" applyFont="1" applyFill="1" applyBorder="1" applyAlignment="1">
      <alignment/>
    </xf>
    <xf numFmtId="4" fontId="3" fillId="0" borderId="13" xfId="0" applyNumberFormat="1" applyFont="1" applyFill="1" applyBorder="1" applyAlignment="1">
      <alignment/>
    </xf>
    <xf numFmtId="0" fontId="2" fillId="33" borderId="11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0" fillId="33" borderId="11" xfId="0" applyFill="1" applyBorder="1" applyAlignment="1">
      <alignment horizontal="left"/>
    </xf>
    <xf numFmtId="0" fontId="0" fillId="33" borderId="11" xfId="0" applyFont="1" applyFill="1" applyBorder="1" applyAlignment="1">
      <alignment horizontal="left"/>
    </xf>
    <xf numFmtId="0" fontId="0" fillId="33" borderId="13" xfId="0" applyFill="1" applyBorder="1" applyAlignment="1">
      <alignment horizontal="right"/>
    </xf>
    <xf numFmtId="0" fontId="0" fillId="33" borderId="13" xfId="0" applyFont="1" applyFill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9"/>
  <sheetViews>
    <sheetView tabSelected="1" zoomScalePageLayoutView="0" workbookViewId="0" topLeftCell="A1">
      <selection activeCell="E205" sqref="E205"/>
    </sheetView>
  </sheetViews>
  <sheetFormatPr defaultColWidth="9.140625" defaultRowHeight="15"/>
  <cols>
    <col min="2" max="2" width="43.140625" style="0" customWidth="1"/>
    <col min="3" max="3" width="13.00390625" style="0" customWidth="1"/>
    <col min="4" max="4" width="30.421875" style="0" customWidth="1"/>
    <col min="5" max="5" width="23.8515625" style="0" customWidth="1"/>
    <col min="6" max="6" width="43.00390625" style="18" customWidth="1"/>
    <col min="7" max="7" width="46.7109375" style="0" customWidth="1"/>
    <col min="8" max="9" width="10.57421875" style="0" customWidth="1"/>
  </cols>
  <sheetData>
    <row r="1" spans="1:6" ht="50.25" customHeight="1">
      <c r="A1" s="112" t="s">
        <v>156</v>
      </c>
      <c r="B1" s="112"/>
      <c r="C1" s="112"/>
      <c r="D1" s="113"/>
      <c r="E1" s="113"/>
      <c r="F1" s="113"/>
    </row>
    <row r="2" spans="1:6" ht="15">
      <c r="A2" s="114" t="s">
        <v>80</v>
      </c>
      <c r="B2" s="115"/>
      <c r="C2" s="1"/>
      <c r="D2" s="116" t="s">
        <v>181</v>
      </c>
      <c r="E2" s="117"/>
      <c r="F2" s="117"/>
    </row>
    <row r="3" spans="1:7" ht="51.75">
      <c r="A3" s="2"/>
      <c r="B3" s="2"/>
      <c r="C3" s="41" t="s">
        <v>139</v>
      </c>
      <c r="D3" s="99" t="s">
        <v>150</v>
      </c>
      <c r="E3" s="99" t="s">
        <v>151</v>
      </c>
      <c r="F3" s="51" t="s">
        <v>157</v>
      </c>
      <c r="G3" s="98">
        <f>E4-E243-F245</f>
        <v>-2412.0999999997207</v>
      </c>
    </row>
    <row r="4" spans="1:6" ht="17.25" customHeight="1">
      <c r="A4" s="5">
        <v>1</v>
      </c>
      <c r="B4" s="2" t="s">
        <v>69</v>
      </c>
      <c r="C4" s="19">
        <v>99120.52</v>
      </c>
      <c r="D4" s="52">
        <v>4221423.83</v>
      </c>
      <c r="E4" s="52">
        <v>4127287.65</v>
      </c>
      <c r="F4" s="53">
        <f>C4+D4-E4</f>
        <v>193256.69999999972</v>
      </c>
    </row>
    <row r="5" spans="1:6" ht="17.25" customHeight="1">
      <c r="A5" s="24"/>
      <c r="B5" s="23"/>
      <c r="C5" s="42"/>
      <c r="D5" s="54"/>
      <c r="E5" s="54"/>
      <c r="F5" s="54"/>
    </row>
    <row r="6" spans="1:7" ht="39" customHeight="1">
      <c r="A6" s="3" t="s">
        <v>1</v>
      </c>
      <c r="B6" s="6"/>
      <c r="C6" s="7"/>
      <c r="D6" s="55" t="s">
        <v>137</v>
      </c>
      <c r="E6" s="55" t="s">
        <v>0</v>
      </c>
      <c r="F6" s="55" t="s">
        <v>2</v>
      </c>
      <c r="G6" s="8"/>
    </row>
    <row r="7" spans="1:9" ht="15.75">
      <c r="A7" s="5"/>
      <c r="B7" s="9" t="s">
        <v>3</v>
      </c>
      <c r="C7" s="43"/>
      <c r="D7" s="56"/>
      <c r="E7" s="56"/>
      <c r="F7" s="56"/>
      <c r="I7" s="8"/>
    </row>
    <row r="8" spans="1:6" ht="30">
      <c r="A8" s="5">
        <v>1</v>
      </c>
      <c r="B8" s="21" t="s">
        <v>144</v>
      </c>
      <c r="C8" s="44"/>
      <c r="D8" s="57">
        <v>3832956</v>
      </c>
      <c r="E8" s="57">
        <f>3213812.69+91256.63+405770</f>
        <v>3710839.32</v>
      </c>
      <c r="F8" s="52">
        <f>D8-E8</f>
        <v>122116.68000000017</v>
      </c>
    </row>
    <row r="9" spans="1:9" ht="30">
      <c r="A9" s="5">
        <v>2</v>
      </c>
      <c r="B9" s="10" t="s">
        <v>4</v>
      </c>
      <c r="C9" s="25"/>
      <c r="D9" s="57">
        <v>249792</v>
      </c>
      <c r="E9" s="57">
        <f>561305.45-91256.63+23186.16</f>
        <v>493234.9799999999</v>
      </c>
      <c r="F9" s="52">
        <f>C9+D9-E9</f>
        <v>-243442.97999999992</v>
      </c>
      <c r="I9" s="8"/>
    </row>
    <row r="10" spans="1:9" ht="15">
      <c r="A10" s="5"/>
      <c r="B10" s="21" t="s">
        <v>169</v>
      </c>
      <c r="C10" s="25"/>
      <c r="D10" s="57"/>
      <c r="E10" s="57">
        <v>10000</v>
      </c>
      <c r="F10" s="52"/>
      <c r="I10" s="8"/>
    </row>
    <row r="11" spans="1:9" ht="30">
      <c r="A11" s="5"/>
      <c r="B11" s="21" t="s">
        <v>170</v>
      </c>
      <c r="C11" s="25"/>
      <c r="D11" s="57"/>
      <c r="E11" s="57">
        <f>6357+992.53</f>
        <v>7349.53</v>
      </c>
      <c r="F11" s="52"/>
      <c r="I11" s="8"/>
    </row>
    <row r="12" spans="1:9" ht="15">
      <c r="A12" s="5"/>
      <c r="B12" s="11" t="s">
        <v>5</v>
      </c>
      <c r="C12" s="45"/>
      <c r="D12" s="58">
        <f>SUM(D8:D10)</f>
        <v>4082748</v>
      </c>
      <c r="E12" s="58">
        <f>SUM(E8:E11)</f>
        <v>4221423.83</v>
      </c>
      <c r="F12" s="58">
        <f>SUM(F8:F10)</f>
        <v>-121326.29999999976</v>
      </c>
      <c r="I12" s="8"/>
    </row>
    <row r="13" spans="1:9" ht="15">
      <c r="A13" s="3" t="s">
        <v>1</v>
      </c>
      <c r="B13" s="3"/>
      <c r="C13" s="4"/>
      <c r="D13" s="59" t="s">
        <v>137</v>
      </c>
      <c r="E13" s="59" t="s">
        <v>82</v>
      </c>
      <c r="F13" s="55" t="s">
        <v>2</v>
      </c>
      <c r="I13" s="8"/>
    </row>
    <row r="14" spans="1:9" ht="15.75">
      <c r="A14" s="5"/>
      <c r="B14" s="9" t="s">
        <v>6</v>
      </c>
      <c r="C14" s="43"/>
      <c r="D14" s="60"/>
      <c r="E14" s="60"/>
      <c r="F14" s="61"/>
      <c r="I14" s="8"/>
    </row>
    <row r="15" spans="1:12" ht="15.75">
      <c r="A15" s="33" t="s">
        <v>87</v>
      </c>
      <c r="B15" s="13" t="s">
        <v>7</v>
      </c>
      <c r="C15" s="20"/>
      <c r="D15" s="101">
        <v>1605000</v>
      </c>
      <c r="E15" s="62">
        <f>SUM(E16:E27)</f>
        <v>1648482.4500000002</v>
      </c>
      <c r="F15" s="62">
        <f>D15-E15</f>
        <v>-43482.450000000186</v>
      </c>
      <c r="H15">
        <v>12062.97</v>
      </c>
      <c r="L15" s="12"/>
    </row>
    <row r="16" spans="1:8" ht="15" hidden="1">
      <c r="A16" s="14"/>
      <c r="B16" s="2" t="s">
        <v>8</v>
      </c>
      <c r="C16" s="26"/>
      <c r="D16" s="63"/>
      <c r="E16" s="64">
        <f>166404.6-10818-12876</f>
        <v>142710.6</v>
      </c>
      <c r="F16" s="65"/>
      <c r="H16" s="8">
        <v>15000</v>
      </c>
    </row>
    <row r="17" spans="1:6" ht="15" hidden="1">
      <c r="A17" s="14"/>
      <c r="B17" s="2" t="s">
        <v>9</v>
      </c>
      <c r="C17" s="26"/>
      <c r="D17" s="27"/>
      <c r="E17" s="64">
        <f>145602-10768-4598</f>
        <v>130236</v>
      </c>
      <c r="F17" s="65"/>
    </row>
    <row r="18" spans="1:8" ht="15" hidden="1">
      <c r="A18" s="14"/>
      <c r="B18" s="2" t="s">
        <v>10</v>
      </c>
      <c r="C18" s="26"/>
      <c r="D18" s="27"/>
      <c r="E18" s="64">
        <f>155084.32-10450-6667</f>
        <v>137967.32</v>
      </c>
      <c r="F18" s="65"/>
      <c r="H18">
        <v>22000</v>
      </c>
    </row>
    <row r="19" spans="1:9" ht="15" hidden="1">
      <c r="A19" s="14"/>
      <c r="B19" s="2" t="s">
        <v>11</v>
      </c>
      <c r="C19" s="26"/>
      <c r="D19" s="27"/>
      <c r="E19" s="109">
        <f>156711.94-8290-12000-945.4</f>
        <v>135476.54</v>
      </c>
      <c r="F19" s="65"/>
      <c r="I19" s="8"/>
    </row>
    <row r="20" spans="1:8" ht="15" hidden="1">
      <c r="A20" s="14"/>
      <c r="B20" s="2" t="s">
        <v>12</v>
      </c>
      <c r="C20" s="26"/>
      <c r="D20" s="27"/>
      <c r="E20" s="64">
        <f>264496.88-1960-94023-10000-8302</f>
        <v>150211.88</v>
      </c>
      <c r="F20" s="66"/>
      <c r="H20" s="8">
        <f>10000+23208.6</f>
        <v>33208.6</v>
      </c>
    </row>
    <row r="21" spans="1:6" ht="15" hidden="1">
      <c r="A21" s="14"/>
      <c r="B21" s="2" t="s">
        <v>13</v>
      </c>
      <c r="C21" s="26"/>
      <c r="D21" s="27"/>
      <c r="E21" s="64">
        <v>141260.04</v>
      </c>
      <c r="F21" s="66"/>
    </row>
    <row r="22" spans="1:9" ht="15" hidden="1">
      <c r="A22" s="14"/>
      <c r="B22" s="2" t="s">
        <v>14</v>
      </c>
      <c r="C22" s="26"/>
      <c r="D22" s="27"/>
      <c r="E22" s="64">
        <v>137417.27</v>
      </c>
      <c r="F22" s="66"/>
      <c r="H22">
        <v>16765</v>
      </c>
      <c r="I22" s="8"/>
    </row>
    <row r="23" spans="1:8" ht="15" hidden="1">
      <c r="A23" s="14"/>
      <c r="B23" s="2" t="s">
        <v>15</v>
      </c>
      <c r="C23" s="26"/>
      <c r="D23" s="27"/>
      <c r="E23" s="64">
        <v>72179.33</v>
      </c>
      <c r="F23" s="66"/>
      <c r="H23">
        <v>20189.16</v>
      </c>
    </row>
    <row r="24" spans="1:8" ht="15" hidden="1">
      <c r="A24" s="14"/>
      <c r="B24" s="2" t="s">
        <v>16</v>
      </c>
      <c r="C24" s="26"/>
      <c r="D24" s="27"/>
      <c r="E24" s="64">
        <f>212091.52-8766</f>
        <v>203325.52</v>
      </c>
      <c r="F24" s="66"/>
      <c r="H24">
        <v>16286.97</v>
      </c>
    </row>
    <row r="25" spans="1:8" ht="15" hidden="1">
      <c r="A25" s="14"/>
      <c r="B25" s="2" t="s">
        <v>17</v>
      </c>
      <c r="C25" s="26"/>
      <c r="D25" s="27"/>
      <c r="E25" s="64">
        <f>134158.22-2650</f>
        <v>131508.22</v>
      </c>
      <c r="F25" s="66"/>
      <c r="G25" s="12"/>
      <c r="H25">
        <f>17216.96+10000</f>
        <v>27216.96</v>
      </c>
    </row>
    <row r="26" spans="1:7" ht="15" hidden="1">
      <c r="A26" s="14"/>
      <c r="B26" s="2" t="s">
        <v>18</v>
      </c>
      <c r="C26" s="26"/>
      <c r="D26" s="27"/>
      <c r="E26" s="64">
        <f>186663.11-9670-43825</f>
        <v>133168.11</v>
      </c>
      <c r="F26" s="66"/>
      <c r="G26" s="12"/>
    </row>
    <row r="27" spans="1:8" ht="15" hidden="1">
      <c r="A27" s="14"/>
      <c r="B27" s="2" t="s">
        <v>22</v>
      </c>
      <c r="C27" s="26"/>
      <c r="D27" s="27"/>
      <c r="E27" s="64">
        <f>133021.62</f>
        <v>133021.62</v>
      </c>
      <c r="F27" s="66"/>
      <c r="G27" s="12"/>
      <c r="H27">
        <v>10000</v>
      </c>
    </row>
    <row r="28" spans="1:8" ht="15">
      <c r="A28" s="33" t="s">
        <v>88</v>
      </c>
      <c r="B28" s="13" t="s">
        <v>19</v>
      </c>
      <c r="C28" s="20"/>
      <c r="D28" s="62">
        <v>120000</v>
      </c>
      <c r="E28" s="62">
        <f>SUM(E29:E40)</f>
        <v>72222</v>
      </c>
      <c r="F28" s="62">
        <f>D28-E28</f>
        <v>47778</v>
      </c>
      <c r="G28" s="12"/>
      <c r="H28" s="8">
        <f>SUM(H16:H27)</f>
        <v>160666.69</v>
      </c>
    </row>
    <row r="29" spans="1:7" ht="15" hidden="1">
      <c r="A29" s="14"/>
      <c r="B29" s="15" t="s">
        <v>8</v>
      </c>
      <c r="C29" s="46"/>
      <c r="D29" s="63"/>
      <c r="E29" s="67">
        <v>10818</v>
      </c>
      <c r="F29" s="68"/>
      <c r="G29" s="12"/>
    </row>
    <row r="30" spans="1:6" ht="15" hidden="1">
      <c r="A30" s="14"/>
      <c r="B30" s="2" t="s">
        <v>9</v>
      </c>
      <c r="C30" s="26"/>
      <c r="D30" s="27"/>
      <c r="E30" s="64">
        <v>10768</v>
      </c>
      <c r="F30" s="68"/>
    </row>
    <row r="31" spans="1:8" ht="15" hidden="1">
      <c r="A31" s="14"/>
      <c r="B31" s="2" t="s">
        <v>10</v>
      </c>
      <c r="C31" s="26"/>
      <c r="D31" s="27"/>
      <c r="E31" s="27">
        <v>10450</v>
      </c>
      <c r="F31" s="68"/>
      <c r="H31" s="8"/>
    </row>
    <row r="32" spans="1:6" ht="15" hidden="1">
      <c r="A32" s="14"/>
      <c r="B32" s="2" t="s">
        <v>11</v>
      </c>
      <c r="C32" s="26"/>
      <c r="D32" s="27"/>
      <c r="E32" s="27">
        <v>8290</v>
      </c>
      <c r="F32" s="68"/>
    </row>
    <row r="33" spans="1:6" ht="15" hidden="1">
      <c r="A33" s="14"/>
      <c r="B33" s="2" t="s">
        <v>12</v>
      </c>
      <c r="C33" s="26"/>
      <c r="D33" s="27"/>
      <c r="E33" s="64">
        <v>1960</v>
      </c>
      <c r="F33" s="68"/>
    </row>
    <row r="34" spans="1:8" ht="15" hidden="1">
      <c r="A34" s="14"/>
      <c r="B34" s="2" t="s">
        <v>13</v>
      </c>
      <c r="C34" s="26"/>
      <c r="D34" s="27"/>
      <c r="E34" s="27"/>
      <c r="F34" s="68"/>
      <c r="H34" s="8"/>
    </row>
    <row r="35" spans="1:8" ht="15" hidden="1">
      <c r="A35" s="14"/>
      <c r="B35" s="15" t="s">
        <v>14</v>
      </c>
      <c r="C35" s="46"/>
      <c r="D35" s="27"/>
      <c r="E35" s="27"/>
      <c r="F35" s="68"/>
      <c r="H35" s="8"/>
    </row>
    <row r="36" spans="1:8" ht="15" hidden="1">
      <c r="A36" s="14"/>
      <c r="B36" s="2" t="s">
        <v>15</v>
      </c>
      <c r="C36" s="26"/>
      <c r="D36" s="27"/>
      <c r="E36" s="27"/>
      <c r="F36" s="68"/>
      <c r="H36" s="8"/>
    </row>
    <row r="37" spans="1:8" ht="15" hidden="1">
      <c r="A37" s="14"/>
      <c r="B37" s="2" t="s">
        <v>16</v>
      </c>
      <c r="C37" s="26"/>
      <c r="D37" s="27"/>
      <c r="E37" s="64">
        <f>8766</f>
        <v>8766</v>
      </c>
      <c r="F37" s="68"/>
      <c r="H37" s="8"/>
    </row>
    <row r="38" spans="1:8" ht="15" hidden="1">
      <c r="A38" s="14"/>
      <c r="B38" s="2" t="s">
        <v>17</v>
      </c>
      <c r="C38" s="26"/>
      <c r="D38" s="27"/>
      <c r="E38" s="64">
        <v>2650</v>
      </c>
      <c r="F38" s="68"/>
      <c r="H38" s="8"/>
    </row>
    <row r="39" spans="1:9" ht="15" hidden="1">
      <c r="A39" s="14"/>
      <c r="B39" s="2" t="s">
        <v>18</v>
      </c>
      <c r="C39" s="26"/>
      <c r="D39" s="27"/>
      <c r="E39" s="64">
        <v>9670</v>
      </c>
      <c r="F39" s="68"/>
      <c r="I39" s="8"/>
    </row>
    <row r="40" spans="1:8" ht="15" hidden="1">
      <c r="A40" s="14"/>
      <c r="B40" s="2" t="s">
        <v>20</v>
      </c>
      <c r="C40" s="26"/>
      <c r="D40" s="27"/>
      <c r="E40" s="64">
        <f>8850</f>
        <v>8850</v>
      </c>
      <c r="F40" s="68"/>
      <c r="H40" s="8"/>
    </row>
    <row r="41" spans="1:8" ht="26.25">
      <c r="A41" s="33" t="s">
        <v>89</v>
      </c>
      <c r="B41" s="16" t="s">
        <v>21</v>
      </c>
      <c r="C41" s="47"/>
      <c r="D41" s="62">
        <v>195504</v>
      </c>
      <c r="E41" s="62">
        <f>SUM(E42:E53)</f>
        <v>184590</v>
      </c>
      <c r="F41" s="62">
        <f>D41-E41</f>
        <v>10914</v>
      </c>
      <c r="H41" s="8"/>
    </row>
    <row r="42" spans="1:8" ht="15" hidden="1">
      <c r="A42" s="14"/>
      <c r="B42" s="15" t="s">
        <v>8</v>
      </c>
      <c r="C42" s="46"/>
      <c r="D42" s="27"/>
      <c r="E42" s="64">
        <v>12876</v>
      </c>
      <c r="F42" s="38"/>
      <c r="H42" s="8"/>
    </row>
    <row r="43" spans="1:8" ht="15" hidden="1">
      <c r="A43" s="14"/>
      <c r="B43" s="2" t="s">
        <v>9</v>
      </c>
      <c r="C43" s="26"/>
      <c r="D43" s="27"/>
      <c r="E43" s="64">
        <v>4598</v>
      </c>
      <c r="F43" s="38"/>
      <c r="H43" s="8"/>
    </row>
    <row r="44" spans="1:8" ht="15" hidden="1">
      <c r="A44" s="14"/>
      <c r="B44" s="2" t="s">
        <v>10</v>
      </c>
      <c r="C44" s="26"/>
      <c r="D44" s="27"/>
      <c r="E44" s="64">
        <v>6667</v>
      </c>
      <c r="F44" s="38"/>
      <c r="H44" s="8"/>
    </row>
    <row r="45" spans="1:6" ht="15" hidden="1">
      <c r="A45" s="14"/>
      <c r="B45" s="2" t="s">
        <v>11</v>
      </c>
      <c r="C45" s="26"/>
      <c r="D45" s="27"/>
      <c r="E45" s="64">
        <v>12000</v>
      </c>
      <c r="F45" s="38"/>
    </row>
    <row r="46" spans="1:6" ht="15" hidden="1">
      <c r="A46" s="14"/>
      <c r="B46" s="2" t="s">
        <v>12</v>
      </c>
      <c r="C46" s="26"/>
      <c r="D46" s="27"/>
      <c r="E46" s="64">
        <f>94023+8302</f>
        <v>102325</v>
      </c>
      <c r="F46" s="38"/>
    </row>
    <row r="47" spans="1:8" ht="15" hidden="1">
      <c r="A47" s="14"/>
      <c r="B47" s="2" t="s">
        <v>13</v>
      </c>
      <c r="C47" s="26"/>
      <c r="D47" s="27"/>
      <c r="E47" s="27"/>
      <c r="F47" s="38"/>
      <c r="H47" s="8"/>
    </row>
    <row r="48" spans="1:6" ht="15" hidden="1">
      <c r="A48" s="14"/>
      <c r="B48" s="15" t="s">
        <v>14</v>
      </c>
      <c r="C48" s="46"/>
      <c r="D48" s="27"/>
      <c r="E48" s="69"/>
      <c r="F48" s="38"/>
    </row>
    <row r="49" spans="1:6" ht="15" hidden="1">
      <c r="A49" s="14"/>
      <c r="B49" s="2" t="s">
        <v>15</v>
      </c>
      <c r="C49" s="26"/>
      <c r="D49" s="27"/>
      <c r="E49" s="27"/>
      <c r="F49" s="38"/>
    </row>
    <row r="50" spans="1:6" ht="15" hidden="1">
      <c r="A50" s="14"/>
      <c r="B50" s="2" t="s">
        <v>16</v>
      </c>
      <c r="C50" s="26"/>
      <c r="D50" s="27"/>
      <c r="E50" s="64"/>
      <c r="F50" s="38"/>
    </row>
    <row r="51" spans="1:6" ht="15" hidden="1">
      <c r="A51" s="14"/>
      <c r="B51" s="2" t="s">
        <v>17</v>
      </c>
      <c r="C51" s="26"/>
      <c r="D51" s="27"/>
      <c r="E51" s="27"/>
      <c r="F51" s="38"/>
    </row>
    <row r="52" spans="1:6" ht="15" hidden="1">
      <c r="A52" s="14"/>
      <c r="B52" s="2" t="s">
        <v>18</v>
      </c>
      <c r="C52" s="26"/>
      <c r="D52" s="27"/>
      <c r="E52" s="64">
        <v>43825</v>
      </c>
      <c r="F52" s="38"/>
    </row>
    <row r="53" spans="1:6" ht="15" hidden="1">
      <c r="A53" s="14"/>
      <c r="B53" s="2" t="s">
        <v>20</v>
      </c>
      <c r="C53" s="26"/>
      <c r="D53" s="27"/>
      <c r="E53" s="64">
        <v>2299</v>
      </c>
      <c r="F53" s="38"/>
    </row>
    <row r="54" spans="1:6" ht="15">
      <c r="A54" s="14" t="s">
        <v>90</v>
      </c>
      <c r="B54" s="22" t="s">
        <v>141</v>
      </c>
      <c r="C54" s="26"/>
      <c r="D54" s="70">
        <v>12000</v>
      </c>
      <c r="E54" s="71"/>
      <c r="F54" s="72">
        <f>D54-E54</f>
        <v>12000</v>
      </c>
    </row>
    <row r="55" spans="1:6" ht="15">
      <c r="A55" s="34" t="s">
        <v>50</v>
      </c>
      <c r="B55" s="22" t="s">
        <v>48</v>
      </c>
      <c r="C55" s="26"/>
      <c r="D55" s="70">
        <v>36000</v>
      </c>
      <c r="E55" s="71">
        <f>SUM(E56:E67)</f>
        <v>10000</v>
      </c>
      <c r="F55" s="72">
        <f>D55-E55</f>
        <v>26000</v>
      </c>
    </row>
    <row r="56" spans="1:6" ht="15" hidden="1">
      <c r="A56" s="14"/>
      <c r="B56" s="15" t="s">
        <v>8</v>
      </c>
      <c r="C56" s="26"/>
      <c r="D56" s="70"/>
      <c r="E56" s="64"/>
      <c r="F56" s="38"/>
    </row>
    <row r="57" spans="1:6" ht="15" hidden="1">
      <c r="A57" s="14"/>
      <c r="B57" s="15" t="s">
        <v>9</v>
      </c>
      <c r="C57" s="26"/>
      <c r="D57" s="70"/>
      <c r="E57" s="64"/>
      <c r="F57" s="38"/>
    </row>
    <row r="58" spans="1:6" ht="15" hidden="1">
      <c r="A58" s="14"/>
      <c r="B58" s="15" t="s">
        <v>10</v>
      </c>
      <c r="C58" s="26"/>
      <c r="D58" s="70"/>
      <c r="E58" s="64"/>
      <c r="F58" s="38"/>
    </row>
    <row r="59" spans="1:6" ht="15" hidden="1">
      <c r="A59" s="14"/>
      <c r="B59" s="15" t="s">
        <v>11</v>
      </c>
      <c r="C59" s="26"/>
      <c r="D59" s="70"/>
      <c r="E59" s="64"/>
      <c r="F59" s="38"/>
    </row>
    <row r="60" spans="1:6" ht="15" hidden="1">
      <c r="A60" s="14"/>
      <c r="B60" s="15" t="s">
        <v>12</v>
      </c>
      <c r="C60" s="26"/>
      <c r="D60" s="70"/>
      <c r="E60" s="64">
        <v>10000</v>
      </c>
      <c r="F60" s="38"/>
    </row>
    <row r="61" spans="1:6" ht="15" hidden="1">
      <c r="A61" s="14"/>
      <c r="B61" s="15" t="s">
        <v>13</v>
      </c>
      <c r="C61" s="26"/>
      <c r="D61" s="70"/>
      <c r="E61" s="64"/>
      <c r="F61" s="38"/>
    </row>
    <row r="62" spans="1:6" ht="15" hidden="1">
      <c r="A62" s="14"/>
      <c r="B62" s="15" t="s">
        <v>14</v>
      </c>
      <c r="C62" s="26"/>
      <c r="D62" s="70"/>
      <c r="E62" s="64"/>
      <c r="F62" s="38"/>
    </row>
    <row r="63" spans="1:6" ht="15" hidden="1">
      <c r="A63" s="14"/>
      <c r="B63" s="15" t="s">
        <v>15</v>
      </c>
      <c r="C63" s="26"/>
      <c r="D63" s="70"/>
      <c r="E63" s="64"/>
      <c r="F63" s="38"/>
    </row>
    <row r="64" spans="1:6" ht="15" hidden="1">
      <c r="A64" s="14"/>
      <c r="B64" s="15" t="s">
        <v>16</v>
      </c>
      <c r="C64" s="26"/>
      <c r="D64" s="70"/>
      <c r="E64" s="64"/>
      <c r="F64" s="38"/>
    </row>
    <row r="65" spans="1:6" ht="15" hidden="1">
      <c r="A65" s="14"/>
      <c r="B65" s="15" t="s">
        <v>17</v>
      </c>
      <c r="C65" s="26"/>
      <c r="D65" s="70"/>
      <c r="E65" s="64"/>
      <c r="F65" s="38"/>
    </row>
    <row r="66" spans="1:6" ht="15" hidden="1">
      <c r="A66" s="14"/>
      <c r="B66" s="15" t="s">
        <v>18</v>
      </c>
      <c r="C66" s="26"/>
      <c r="D66" s="70"/>
      <c r="E66" s="64"/>
      <c r="F66" s="38"/>
    </row>
    <row r="67" spans="1:6" ht="15" hidden="1">
      <c r="A67" s="14"/>
      <c r="B67" s="15" t="s">
        <v>22</v>
      </c>
      <c r="C67" s="26"/>
      <c r="D67" s="70"/>
      <c r="E67" s="64"/>
      <c r="F67" s="38"/>
    </row>
    <row r="68" spans="1:6" ht="15">
      <c r="A68" s="35" t="s">
        <v>59</v>
      </c>
      <c r="B68" s="13" t="s">
        <v>140</v>
      </c>
      <c r="C68" s="20"/>
      <c r="D68" s="62">
        <v>393708</v>
      </c>
      <c r="E68" s="62">
        <f>SUM(E69:E80)</f>
        <v>386500.0699999999</v>
      </c>
      <c r="F68" s="62">
        <f>D68-E68</f>
        <v>7207.930000000109</v>
      </c>
    </row>
    <row r="69" spans="1:6" ht="15" hidden="1">
      <c r="A69" s="14"/>
      <c r="B69" s="15" t="s">
        <v>8</v>
      </c>
      <c r="C69" s="46"/>
      <c r="D69" s="27"/>
      <c r="E69" s="64">
        <f>307.06+33280.92</f>
        <v>33587.979999999996</v>
      </c>
      <c r="F69" s="73"/>
    </row>
    <row r="70" spans="1:6" ht="15" hidden="1">
      <c r="A70" s="14"/>
      <c r="B70" s="2" t="s">
        <v>9</v>
      </c>
      <c r="C70" s="26"/>
      <c r="D70" s="27"/>
      <c r="E70" s="64">
        <f>282.01+29120.4</f>
        <v>29402.41</v>
      </c>
      <c r="F70" s="73"/>
    </row>
    <row r="71" spans="1:6" ht="15" hidden="1">
      <c r="A71" s="14"/>
      <c r="B71" s="2" t="s">
        <v>10</v>
      </c>
      <c r="C71" s="26"/>
      <c r="D71" s="27"/>
      <c r="E71" s="27">
        <f>296.83+31016.87</f>
        <v>31313.7</v>
      </c>
      <c r="F71" s="73"/>
    </row>
    <row r="72" spans="1:6" ht="15" hidden="1">
      <c r="A72" s="14"/>
      <c r="B72" s="2" t="s">
        <v>11</v>
      </c>
      <c r="C72" s="26"/>
      <c r="D72" s="27"/>
      <c r="E72" s="27">
        <f>287.53+31153.31</f>
        <v>31440.84</v>
      </c>
      <c r="F72" s="73"/>
    </row>
    <row r="73" spans="1:6" ht="15" hidden="1">
      <c r="A73" s="14"/>
      <c r="B73" s="2" t="s">
        <v>12</v>
      </c>
      <c r="C73" s="26"/>
      <c r="D73" s="27"/>
      <c r="E73" s="64">
        <f>304.35+52899.38</f>
        <v>53203.729999999996</v>
      </c>
      <c r="F73" s="73"/>
    </row>
    <row r="74" spans="1:6" ht="15" hidden="1">
      <c r="A74" s="14"/>
      <c r="B74" s="2" t="s">
        <v>13</v>
      </c>
      <c r="C74" s="26"/>
      <c r="D74" s="27"/>
      <c r="E74" s="27">
        <f>282.52+28252</f>
        <v>28534.52</v>
      </c>
      <c r="F74" s="73"/>
    </row>
    <row r="75" spans="1:6" ht="15" hidden="1">
      <c r="A75" s="14"/>
      <c r="B75" s="15" t="s">
        <v>14</v>
      </c>
      <c r="C75" s="46"/>
      <c r="D75" s="27"/>
      <c r="E75" s="64">
        <f>274.83+27483.45</f>
        <v>27758.280000000002</v>
      </c>
      <c r="F75" s="73"/>
    </row>
    <row r="76" spans="1:6" ht="15" hidden="1">
      <c r="A76" s="14"/>
      <c r="B76" s="2" t="s">
        <v>15</v>
      </c>
      <c r="C76" s="26"/>
      <c r="D76" s="27"/>
      <c r="E76" s="64"/>
      <c r="F76" s="73"/>
    </row>
    <row r="77" spans="1:6" ht="15" hidden="1">
      <c r="A77" s="14"/>
      <c r="B77" s="2" t="s">
        <v>16</v>
      </c>
      <c r="C77" s="26"/>
      <c r="D77" s="27"/>
      <c r="E77" s="64">
        <f>278.29+27830.01+290.24+29023.96</f>
        <v>57422.5</v>
      </c>
      <c r="F77" s="73"/>
    </row>
    <row r="78" spans="1:6" ht="15" hidden="1">
      <c r="A78" s="14"/>
      <c r="B78" s="2" t="s">
        <v>17</v>
      </c>
      <c r="C78" s="26"/>
      <c r="D78" s="27"/>
      <c r="E78" s="27">
        <f>268.32+26831.84</f>
        <v>27100.16</v>
      </c>
      <c r="F78" s="73"/>
    </row>
    <row r="79" spans="1:6" ht="15" hidden="1">
      <c r="A79" s="14"/>
      <c r="B79" s="2" t="s">
        <v>18</v>
      </c>
      <c r="C79" s="26"/>
      <c r="D79" s="27"/>
      <c r="E79" s="27">
        <f>285.66+37332.63</f>
        <v>37618.29</v>
      </c>
      <c r="F79" s="73"/>
    </row>
    <row r="80" spans="1:6" ht="15" hidden="1">
      <c r="A80" s="14"/>
      <c r="B80" s="2" t="s">
        <v>22</v>
      </c>
      <c r="C80" s="26"/>
      <c r="D80" s="27"/>
      <c r="E80" s="27">
        <f>283.74+28833.92</f>
        <v>29117.66</v>
      </c>
      <c r="F80" s="73"/>
    </row>
    <row r="81" spans="1:6" ht="15">
      <c r="A81" s="35" t="s">
        <v>91</v>
      </c>
      <c r="B81" s="13" t="s">
        <v>23</v>
      </c>
      <c r="C81" s="20"/>
      <c r="D81" s="62">
        <v>60000</v>
      </c>
      <c r="E81" s="62">
        <f>SUM(E82:E84)</f>
        <v>39851</v>
      </c>
      <c r="F81" s="62">
        <f>D81-E81</f>
        <v>20149</v>
      </c>
    </row>
    <row r="82" spans="1:6" ht="15" hidden="1">
      <c r="A82" s="34"/>
      <c r="B82" s="2" t="s">
        <v>24</v>
      </c>
      <c r="C82" s="26"/>
      <c r="D82" s="27"/>
      <c r="E82" s="27">
        <f>39851</f>
        <v>39851</v>
      </c>
      <c r="F82" s="73"/>
    </row>
    <row r="83" spans="1:6" ht="15" hidden="1">
      <c r="A83" s="34"/>
      <c r="B83" s="2" t="s">
        <v>84</v>
      </c>
      <c r="C83" s="26"/>
      <c r="D83" s="27"/>
      <c r="E83" s="27"/>
      <c r="F83" s="73"/>
    </row>
    <row r="84" spans="1:6" ht="15" hidden="1">
      <c r="A84" s="34"/>
      <c r="B84" s="2" t="s">
        <v>85</v>
      </c>
      <c r="C84" s="26"/>
      <c r="D84" s="27"/>
      <c r="E84" s="27"/>
      <c r="F84" s="73"/>
    </row>
    <row r="85" spans="1:6" ht="15">
      <c r="A85" s="35" t="s">
        <v>92</v>
      </c>
      <c r="B85" s="13" t="s">
        <v>25</v>
      </c>
      <c r="C85" s="20"/>
      <c r="D85" s="62">
        <v>40800</v>
      </c>
      <c r="E85" s="62">
        <f>SUM(E86:E97)</f>
        <v>33794.619999999995</v>
      </c>
      <c r="F85" s="62">
        <f>D85-E85</f>
        <v>7005.380000000005</v>
      </c>
    </row>
    <row r="86" spans="1:6" ht="15" hidden="1">
      <c r="A86" s="14"/>
      <c r="B86" s="15" t="s">
        <v>8</v>
      </c>
      <c r="C86" s="46"/>
      <c r="D86" s="27"/>
      <c r="E86" s="64">
        <f>150+250+120+650+180+364.31+750</f>
        <v>2464.31</v>
      </c>
      <c r="F86" s="73"/>
    </row>
    <row r="87" spans="1:6" ht="15" hidden="1">
      <c r="A87" s="14"/>
      <c r="B87" s="2" t="s">
        <v>9</v>
      </c>
      <c r="C87" s="26"/>
      <c r="D87" s="27"/>
      <c r="E87" s="64">
        <v>2380</v>
      </c>
      <c r="F87" s="73"/>
    </row>
    <row r="88" spans="1:6" ht="15" hidden="1">
      <c r="A88" s="14"/>
      <c r="B88" s="2" t="s">
        <v>10</v>
      </c>
      <c r="C88" s="26"/>
      <c r="D88" s="27"/>
      <c r="E88" s="64">
        <v>2440</v>
      </c>
      <c r="F88" s="73"/>
    </row>
    <row r="89" spans="1:6" ht="15" hidden="1">
      <c r="A89" s="14"/>
      <c r="B89" s="2" t="s">
        <v>11</v>
      </c>
      <c r="C89" s="26"/>
      <c r="D89" s="27"/>
      <c r="E89" s="64">
        <v>2690</v>
      </c>
      <c r="F89" s="73"/>
    </row>
    <row r="90" spans="1:6" ht="15" hidden="1">
      <c r="A90" s="14"/>
      <c r="B90" s="2" t="s">
        <v>12</v>
      </c>
      <c r="C90" s="26"/>
      <c r="D90" s="27"/>
      <c r="E90" s="27">
        <v>2470</v>
      </c>
      <c r="F90" s="73"/>
    </row>
    <row r="91" spans="1:6" ht="15" hidden="1">
      <c r="A91" s="14"/>
      <c r="B91" s="2" t="s">
        <v>13</v>
      </c>
      <c r="C91" s="26"/>
      <c r="D91" s="27"/>
      <c r="E91" s="27">
        <v>2530</v>
      </c>
      <c r="F91" s="73"/>
    </row>
    <row r="92" spans="1:6" ht="15" hidden="1">
      <c r="A92" s="14"/>
      <c r="B92" s="15" t="s">
        <v>14</v>
      </c>
      <c r="C92" s="46"/>
      <c r="D92" s="27"/>
      <c r="E92" s="27">
        <v>2500</v>
      </c>
      <c r="F92" s="73"/>
    </row>
    <row r="93" spans="1:6" ht="15" hidden="1">
      <c r="A93" s="14"/>
      <c r="B93" s="2" t="s">
        <v>15</v>
      </c>
      <c r="C93" s="26"/>
      <c r="D93" s="27"/>
      <c r="E93" s="27">
        <v>1890</v>
      </c>
      <c r="F93" s="73"/>
    </row>
    <row r="94" spans="1:8" ht="15" hidden="1">
      <c r="A94" s="14"/>
      <c r="B94" s="2" t="s">
        <v>16</v>
      </c>
      <c r="C94" s="26"/>
      <c r="D94" s="27"/>
      <c r="E94" s="27">
        <v>4202.53</v>
      </c>
      <c r="F94" s="73"/>
      <c r="H94" s="8"/>
    </row>
    <row r="95" spans="1:8" ht="15" hidden="1">
      <c r="A95" s="14"/>
      <c r="B95" s="2" t="s">
        <v>17</v>
      </c>
      <c r="C95" s="26"/>
      <c r="D95" s="27"/>
      <c r="E95" s="27">
        <v>3087.63</v>
      </c>
      <c r="F95" s="73"/>
      <c r="H95" s="8"/>
    </row>
    <row r="96" spans="1:6" ht="15" hidden="1">
      <c r="A96" s="14"/>
      <c r="B96" s="2" t="s">
        <v>18</v>
      </c>
      <c r="C96" s="26"/>
      <c r="D96" s="27"/>
      <c r="E96" s="27">
        <v>3618.4</v>
      </c>
      <c r="F96" s="73"/>
    </row>
    <row r="97" spans="1:6" ht="15" hidden="1">
      <c r="A97" s="14"/>
      <c r="B97" s="2" t="s">
        <v>22</v>
      </c>
      <c r="C97" s="26"/>
      <c r="D97" s="27"/>
      <c r="E97" s="27">
        <f>3521.75</f>
        <v>3521.75</v>
      </c>
      <c r="F97" s="73"/>
    </row>
    <row r="98" spans="1:6" ht="15">
      <c r="A98" s="35" t="s">
        <v>93</v>
      </c>
      <c r="B98" s="13" t="s">
        <v>26</v>
      </c>
      <c r="C98" s="20"/>
      <c r="D98" s="62">
        <v>15000</v>
      </c>
      <c r="E98" s="111">
        <f>SUM(E99:E129)</f>
        <v>10582.65</v>
      </c>
      <c r="F98" s="62">
        <f>D98-E98</f>
        <v>4417.35</v>
      </c>
    </row>
    <row r="99" spans="1:6" ht="15" hidden="1">
      <c r="A99" s="14"/>
      <c r="B99" s="15" t="s">
        <v>27</v>
      </c>
      <c r="C99" s="48"/>
      <c r="D99" s="27"/>
      <c r="E99" s="27"/>
      <c r="F99" s="27"/>
    </row>
    <row r="100" spans="1:6" ht="15" hidden="1">
      <c r="A100" s="14"/>
      <c r="B100" s="2" t="s">
        <v>28</v>
      </c>
      <c r="C100" s="48"/>
      <c r="D100" s="27"/>
      <c r="E100" s="27">
        <f>275.88</f>
        <v>275.88</v>
      </c>
      <c r="F100" s="27"/>
    </row>
    <row r="101" spans="1:6" ht="15" hidden="1">
      <c r="A101" s="14"/>
      <c r="B101" s="2" t="s">
        <v>30</v>
      </c>
      <c r="C101" s="44"/>
      <c r="D101" s="27"/>
      <c r="E101" s="27">
        <v>810</v>
      </c>
      <c r="F101" s="27"/>
    </row>
    <row r="102" spans="1:6" ht="15" hidden="1">
      <c r="A102" s="14"/>
      <c r="B102" s="2" t="s">
        <v>32</v>
      </c>
      <c r="C102" s="44"/>
      <c r="D102" s="27"/>
      <c r="E102" s="27">
        <v>500</v>
      </c>
      <c r="F102" s="27"/>
    </row>
    <row r="103" spans="1:6" ht="15" hidden="1">
      <c r="A103" s="14"/>
      <c r="B103" s="2" t="s">
        <v>34</v>
      </c>
      <c r="C103" s="44"/>
      <c r="D103" s="27"/>
      <c r="E103" s="27"/>
      <c r="F103" s="27"/>
    </row>
    <row r="104" spans="1:6" ht="15" hidden="1">
      <c r="A104" s="14"/>
      <c r="B104" s="2" t="s">
        <v>35</v>
      </c>
      <c r="C104" s="44"/>
      <c r="D104" s="27"/>
      <c r="E104" s="27">
        <f>385.68</f>
        <v>385.68</v>
      </c>
      <c r="F104" s="27"/>
    </row>
    <row r="105" spans="1:6" ht="15" hidden="1">
      <c r="A105" s="14"/>
      <c r="B105" s="15" t="s">
        <v>70</v>
      </c>
      <c r="C105" s="44"/>
      <c r="D105" s="27"/>
      <c r="E105" s="27">
        <f>27.14+452.24</f>
        <v>479.38</v>
      </c>
      <c r="F105" s="27"/>
    </row>
    <row r="106" spans="1:6" ht="15" hidden="1">
      <c r="A106" s="14"/>
      <c r="B106" s="2" t="s">
        <v>38</v>
      </c>
      <c r="C106" s="44"/>
      <c r="D106" s="27"/>
      <c r="E106" s="27">
        <v>1000</v>
      </c>
      <c r="F106" s="27"/>
    </row>
    <row r="107" spans="1:6" ht="15" hidden="1">
      <c r="A107" s="14"/>
      <c r="B107" s="2" t="s">
        <v>78</v>
      </c>
      <c r="C107" s="44"/>
      <c r="D107" s="27"/>
      <c r="E107" s="64"/>
      <c r="F107" s="27"/>
    </row>
    <row r="108" spans="1:7" ht="15" hidden="1">
      <c r="A108" s="14"/>
      <c r="B108" s="2" t="s">
        <v>41</v>
      </c>
      <c r="C108" s="44"/>
      <c r="D108" s="27"/>
      <c r="E108" s="27"/>
      <c r="F108" s="27"/>
      <c r="G108" s="12"/>
    </row>
    <row r="109" spans="1:6" ht="15" hidden="1">
      <c r="A109" s="14"/>
      <c r="B109" s="2" t="s">
        <v>43</v>
      </c>
      <c r="C109" s="44"/>
      <c r="D109" s="27"/>
      <c r="E109" s="64">
        <f>145.49</f>
        <v>145.49</v>
      </c>
      <c r="F109" s="27"/>
    </row>
    <row r="110" spans="1:6" ht="15" hidden="1">
      <c r="A110" s="14"/>
      <c r="B110" s="2" t="s">
        <v>44</v>
      </c>
      <c r="C110" s="44"/>
      <c r="D110" s="27"/>
      <c r="E110" s="64">
        <f>404.74+425.26</f>
        <v>830</v>
      </c>
      <c r="F110" s="27"/>
    </row>
    <row r="111" spans="1:6" ht="15" hidden="1">
      <c r="A111" s="14"/>
      <c r="B111" s="15" t="s">
        <v>66</v>
      </c>
      <c r="C111" s="48"/>
      <c r="D111" s="27"/>
      <c r="E111" s="27">
        <v>200</v>
      </c>
      <c r="F111" s="27"/>
    </row>
    <row r="112" spans="1:6" ht="15" hidden="1">
      <c r="A112" s="14"/>
      <c r="B112" s="2" t="s">
        <v>29</v>
      </c>
      <c r="C112" s="48"/>
      <c r="D112" s="27"/>
      <c r="E112" s="64">
        <v>600</v>
      </c>
      <c r="F112" s="27"/>
    </row>
    <row r="113" spans="1:6" ht="15" hidden="1">
      <c r="A113" s="14"/>
      <c r="B113" s="2" t="s">
        <v>31</v>
      </c>
      <c r="C113" s="44"/>
      <c r="D113" s="27"/>
      <c r="E113" s="27">
        <v>200</v>
      </c>
      <c r="F113" s="27"/>
    </row>
    <row r="114" spans="1:6" ht="15" hidden="1">
      <c r="A114" s="14"/>
      <c r="B114" s="2" t="s">
        <v>72</v>
      </c>
      <c r="C114" s="44"/>
      <c r="D114" s="27"/>
      <c r="E114" s="64">
        <v>200</v>
      </c>
      <c r="F114" s="27"/>
    </row>
    <row r="115" spans="1:6" ht="15" hidden="1">
      <c r="A115" s="14"/>
      <c r="B115" s="2" t="s">
        <v>33</v>
      </c>
      <c r="C115" s="44"/>
      <c r="D115" s="27"/>
      <c r="E115" s="64">
        <v>200</v>
      </c>
      <c r="F115" s="27"/>
    </row>
    <row r="116" spans="1:6" ht="15" hidden="1">
      <c r="A116" s="14"/>
      <c r="B116" s="2" t="s">
        <v>36</v>
      </c>
      <c r="C116" s="44"/>
      <c r="D116" s="27"/>
      <c r="E116" s="64"/>
      <c r="F116" s="27"/>
    </row>
    <row r="117" spans="1:6" ht="15" hidden="1">
      <c r="A117" s="14"/>
      <c r="B117" s="15" t="s">
        <v>37</v>
      </c>
      <c r="C117" s="44"/>
      <c r="D117" s="27"/>
      <c r="E117" s="27"/>
      <c r="F117" s="27"/>
    </row>
    <row r="118" spans="1:6" ht="15" hidden="1">
      <c r="A118" s="14"/>
      <c r="B118" s="2" t="s">
        <v>39</v>
      </c>
      <c r="C118" s="44"/>
      <c r="D118" s="27"/>
      <c r="E118" s="27">
        <v>400</v>
      </c>
      <c r="F118" s="27"/>
    </row>
    <row r="119" spans="1:6" ht="15" hidden="1">
      <c r="A119" s="14"/>
      <c r="B119" s="2" t="s">
        <v>79</v>
      </c>
      <c r="C119" s="44"/>
      <c r="D119" s="27"/>
      <c r="E119" s="64"/>
      <c r="F119" s="27"/>
    </row>
    <row r="120" spans="1:6" ht="15" hidden="1">
      <c r="A120" s="14"/>
      <c r="B120" s="2" t="s">
        <v>40</v>
      </c>
      <c r="C120" s="44"/>
      <c r="D120" s="27"/>
      <c r="E120" s="27">
        <v>200</v>
      </c>
      <c r="F120" s="27"/>
    </row>
    <row r="121" spans="1:6" ht="15" hidden="1">
      <c r="A121" s="14"/>
      <c r="B121" s="2" t="s">
        <v>42</v>
      </c>
      <c r="C121" s="44"/>
      <c r="D121" s="27"/>
      <c r="E121" s="64">
        <v>300</v>
      </c>
      <c r="F121" s="27"/>
    </row>
    <row r="122" spans="1:6" ht="15" hidden="1">
      <c r="A122" s="14"/>
      <c r="B122" s="2" t="s">
        <v>138</v>
      </c>
      <c r="C122" s="44"/>
      <c r="D122" s="27"/>
      <c r="E122" s="64">
        <f>500</f>
        <v>500</v>
      </c>
      <c r="F122" s="27"/>
    </row>
    <row r="123" spans="1:6" ht="15" hidden="1">
      <c r="A123" s="14"/>
      <c r="B123" s="22" t="s">
        <v>67</v>
      </c>
      <c r="C123" s="26"/>
      <c r="D123" s="27"/>
      <c r="E123" s="64"/>
      <c r="F123" s="73"/>
    </row>
    <row r="124" spans="1:6" ht="15" hidden="1">
      <c r="A124" s="14"/>
      <c r="B124" s="15" t="s">
        <v>8</v>
      </c>
      <c r="C124" s="26"/>
      <c r="D124" s="27"/>
      <c r="E124" s="64">
        <v>6.5</v>
      </c>
      <c r="F124" s="73"/>
    </row>
    <row r="125" spans="1:6" ht="15" hidden="1">
      <c r="A125" s="14"/>
      <c r="B125" s="15" t="s">
        <v>9</v>
      </c>
      <c r="C125" s="26"/>
      <c r="D125" s="27"/>
      <c r="E125" s="64">
        <v>1500</v>
      </c>
      <c r="F125" s="73"/>
    </row>
    <row r="126" spans="1:6" ht="15" hidden="1">
      <c r="A126" s="14"/>
      <c r="B126" s="2" t="s">
        <v>13</v>
      </c>
      <c r="C126" s="26"/>
      <c r="D126" s="27"/>
      <c r="E126" s="27">
        <v>349.72</v>
      </c>
      <c r="F126" s="73"/>
    </row>
    <row r="127" spans="1:7" ht="15" hidden="1">
      <c r="A127" s="14"/>
      <c r="B127" s="2" t="s">
        <v>12</v>
      </c>
      <c r="C127" s="26"/>
      <c r="D127" s="27"/>
      <c r="E127" s="27"/>
      <c r="F127" s="73"/>
      <c r="G127" s="12"/>
    </row>
    <row r="128" spans="1:7" ht="15" hidden="1">
      <c r="A128" s="14"/>
      <c r="B128" s="2" t="s">
        <v>18</v>
      </c>
      <c r="C128" s="26"/>
      <c r="D128" s="27"/>
      <c r="E128" s="27">
        <f>1500</f>
        <v>1500</v>
      </c>
      <c r="F128" s="73"/>
      <c r="G128" s="12"/>
    </row>
    <row r="129" spans="1:7" ht="15" hidden="1">
      <c r="A129" s="14"/>
      <c r="B129" s="2" t="s">
        <v>22</v>
      </c>
      <c r="C129" s="26"/>
      <c r="D129" s="27"/>
      <c r="E129" s="27"/>
      <c r="F129" s="73"/>
      <c r="G129" s="12"/>
    </row>
    <row r="130" spans="1:6" ht="15">
      <c r="A130" s="35" t="s">
        <v>94</v>
      </c>
      <c r="B130" s="13" t="s">
        <v>45</v>
      </c>
      <c r="C130" s="20"/>
      <c r="D130" s="62">
        <v>152508</v>
      </c>
      <c r="E130" s="62">
        <f>SUM(E131:E142)</f>
        <v>143857.48</v>
      </c>
      <c r="F130" s="62">
        <f>D130-E130</f>
        <v>8650.51999999999</v>
      </c>
    </row>
    <row r="131" spans="1:6" ht="15" hidden="1">
      <c r="A131" s="14"/>
      <c r="B131" s="15" t="s">
        <v>8</v>
      </c>
      <c r="C131" s="46"/>
      <c r="D131" s="27"/>
      <c r="E131" s="27">
        <f>10826.54</f>
        <v>10826.54</v>
      </c>
      <c r="F131" s="73"/>
    </row>
    <row r="132" spans="1:6" ht="15" hidden="1">
      <c r="A132" s="14"/>
      <c r="B132" s="2" t="s">
        <v>9</v>
      </c>
      <c r="C132" s="26"/>
      <c r="D132" s="27"/>
      <c r="E132" s="27">
        <f>10826.54</f>
        <v>10826.54</v>
      </c>
      <c r="F132" s="73"/>
    </row>
    <row r="133" spans="1:6" ht="15" hidden="1">
      <c r="A133" s="14"/>
      <c r="B133" s="2" t="s">
        <v>10</v>
      </c>
      <c r="C133" s="26"/>
      <c r="D133" s="27"/>
      <c r="E133" s="27">
        <v>12085.44</v>
      </c>
      <c r="F133" s="73"/>
    </row>
    <row r="134" spans="1:6" ht="15" hidden="1">
      <c r="A134" s="14"/>
      <c r="B134" s="2" t="s">
        <v>11</v>
      </c>
      <c r="C134" s="26"/>
      <c r="D134" s="27"/>
      <c r="E134" s="27">
        <v>12085.44</v>
      </c>
      <c r="F134" s="73"/>
    </row>
    <row r="135" spans="1:6" ht="15" hidden="1">
      <c r="A135" s="14"/>
      <c r="B135" s="2" t="s">
        <v>12</v>
      </c>
      <c r="C135" s="26"/>
      <c r="D135" s="27"/>
      <c r="E135" s="27">
        <f>1350+12085.44</f>
        <v>13435.44</v>
      </c>
      <c r="F135" s="73"/>
    </row>
    <row r="136" spans="1:6" ht="15" hidden="1">
      <c r="A136" s="14"/>
      <c r="B136" s="2" t="s">
        <v>13</v>
      </c>
      <c r="C136" s="26"/>
      <c r="D136" s="27"/>
      <c r="E136" s="27"/>
      <c r="F136" s="73"/>
    </row>
    <row r="137" spans="1:7" ht="15" hidden="1">
      <c r="A137" s="14"/>
      <c r="B137" s="15" t="s">
        <v>14</v>
      </c>
      <c r="C137" s="46"/>
      <c r="D137" s="27"/>
      <c r="E137" s="27">
        <f>12085.44+12085.44</f>
        <v>24170.88</v>
      </c>
      <c r="F137" s="73"/>
      <c r="G137" s="12"/>
    </row>
    <row r="138" spans="1:7" ht="15" hidden="1">
      <c r="A138" s="14"/>
      <c r="B138" s="2" t="s">
        <v>15</v>
      </c>
      <c r="C138" s="26"/>
      <c r="D138" s="27"/>
      <c r="E138" s="64"/>
      <c r="F138" s="73"/>
      <c r="G138" s="12"/>
    </row>
    <row r="139" spans="1:8" ht="15" hidden="1">
      <c r="A139" s="14"/>
      <c r="B139" s="2" t="s">
        <v>16</v>
      </c>
      <c r="C139" s="26"/>
      <c r="D139" s="27"/>
      <c r="E139" s="64">
        <f>12085.44+12085.44</f>
        <v>24170.88</v>
      </c>
      <c r="F139" s="73"/>
      <c r="G139" s="12"/>
      <c r="H139" s="12"/>
    </row>
    <row r="140" spans="1:7" ht="15" hidden="1">
      <c r="A140" s="14"/>
      <c r="B140" s="2" t="s">
        <v>17</v>
      </c>
      <c r="C140" s="26"/>
      <c r="D140" s="27"/>
      <c r="E140" s="27">
        <f>12085.44</f>
        <v>12085.44</v>
      </c>
      <c r="F140" s="73"/>
      <c r="G140" s="12"/>
    </row>
    <row r="141" spans="1:7" ht="15" hidden="1">
      <c r="A141" s="14"/>
      <c r="B141" s="2" t="s">
        <v>18</v>
      </c>
      <c r="C141" s="26"/>
      <c r="D141" s="27"/>
      <c r="E141" s="64">
        <f>12085.44</f>
        <v>12085.44</v>
      </c>
      <c r="F141" s="73"/>
      <c r="G141" s="12"/>
    </row>
    <row r="142" spans="1:7" ht="15" hidden="1">
      <c r="A142" s="14"/>
      <c r="B142" s="2" t="s">
        <v>22</v>
      </c>
      <c r="C142" s="26"/>
      <c r="D142" s="27"/>
      <c r="E142" s="64">
        <f>12085.44</f>
        <v>12085.44</v>
      </c>
      <c r="F142" s="73"/>
      <c r="G142" s="12"/>
    </row>
    <row r="143" spans="1:7" ht="15">
      <c r="A143" s="28" t="s">
        <v>95</v>
      </c>
      <c r="B143" s="13" t="s">
        <v>46</v>
      </c>
      <c r="C143" s="20"/>
      <c r="D143" s="62">
        <v>30000</v>
      </c>
      <c r="E143" s="62">
        <f>SUM(E144:E155)</f>
        <v>22159.710000000003</v>
      </c>
      <c r="F143" s="62">
        <f>D143-E143</f>
        <v>7840.289999999997</v>
      </c>
      <c r="G143" s="12"/>
    </row>
    <row r="144" spans="1:7" ht="15" hidden="1">
      <c r="A144" s="14"/>
      <c r="B144" s="15" t="s">
        <v>8</v>
      </c>
      <c r="C144" s="46"/>
      <c r="D144" s="60"/>
      <c r="E144" s="60">
        <v>210</v>
      </c>
      <c r="F144" s="29"/>
      <c r="G144" s="29"/>
    </row>
    <row r="145" spans="1:7" ht="15" hidden="1">
      <c r="A145" s="14"/>
      <c r="B145" s="2" t="s">
        <v>9</v>
      </c>
      <c r="C145" s="26"/>
      <c r="D145" s="74"/>
      <c r="E145" s="74"/>
      <c r="F145" s="29"/>
      <c r="G145" s="29"/>
    </row>
    <row r="146" spans="1:7" ht="15" hidden="1">
      <c r="A146" s="14"/>
      <c r="B146" s="2" t="s">
        <v>10</v>
      </c>
      <c r="C146" s="26"/>
      <c r="D146" s="74"/>
      <c r="E146" s="74">
        <v>850</v>
      </c>
      <c r="F146" s="29"/>
      <c r="G146" s="29"/>
    </row>
    <row r="147" spans="1:7" ht="15.75" customHeight="1" hidden="1">
      <c r="A147" s="14"/>
      <c r="B147" s="2" t="s">
        <v>11</v>
      </c>
      <c r="C147" s="26"/>
      <c r="D147" s="60"/>
      <c r="E147" s="60"/>
      <c r="F147" s="29"/>
      <c r="G147" s="29"/>
    </row>
    <row r="148" spans="1:7" ht="36" customHeight="1" hidden="1">
      <c r="A148" s="14"/>
      <c r="B148" s="2" t="s">
        <v>12</v>
      </c>
      <c r="C148" s="26"/>
      <c r="D148" s="74"/>
      <c r="E148" s="74">
        <v>3623.26</v>
      </c>
      <c r="F148" s="29"/>
      <c r="G148" s="29"/>
    </row>
    <row r="149" spans="1:7" ht="15.75" customHeight="1" hidden="1">
      <c r="A149" s="14"/>
      <c r="B149" s="2" t="s">
        <v>13</v>
      </c>
      <c r="C149" s="26"/>
      <c r="D149" s="60"/>
      <c r="E149" s="60">
        <f>1269+2289.55</f>
        <v>3558.55</v>
      </c>
      <c r="F149" s="29" t="s">
        <v>172</v>
      </c>
      <c r="G149" s="29"/>
    </row>
    <row r="150" spans="1:7" ht="25.5" customHeight="1" hidden="1">
      <c r="A150" s="14"/>
      <c r="B150" s="15" t="s">
        <v>14</v>
      </c>
      <c r="C150" s="46"/>
      <c r="D150" s="60"/>
      <c r="E150" s="60">
        <f>2535+1861</f>
        <v>4396</v>
      </c>
      <c r="F150" s="29" t="s">
        <v>173</v>
      </c>
      <c r="G150" s="29"/>
    </row>
    <row r="151" spans="1:7" ht="28.5" customHeight="1" hidden="1">
      <c r="A151" s="14"/>
      <c r="B151" s="2" t="s">
        <v>15</v>
      </c>
      <c r="C151" s="26"/>
      <c r="D151" s="60"/>
      <c r="E151" s="60">
        <v>734.5</v>
      </c>
      <c r="F151" s="29"/>
      <c r="G151" s="29"/>
    </row>
    <row r="152" spans="1:7" ht="38.25" customHeight="1" hidden="1">
      <c r="A152" s="14"/>
      <c r="B152" s="2" t="s">
        <v>16</v>
      </c>
      <c r="C152" s="26"/>
      <c r="D152" s="60"/>
      <c r="E152" s="60">
        <v>389</v>
      </c>
      <c r="F152" s="29"/>
      <c r="G152" s="29"/>
    </row>
    <row r="153" spans="1:7" ht="16.5" customHeight="1" hidden="1">
      <c r="A153" s="14"/>
      <c r="B153" s="2" t="s">
        <v>17</v>
      </c>
      <c r="C153" s="26"/>
      <c r="D153" s="60"/>
      <c r="E153" s="60">
        <f>3578.09</f>
        <v>3578.09</v>
      </c>
      <c r="F153" s="29" t="s">
        <v>155</v>
      </c>
      <c r="G153" s="29"/>
    </row>
    <row r="154" spans="1:7" ht="18" customHeight="1" hidden="1">
      <c r="A154" s="14"/>
      <c r="B154" s="2" t="s">
        <v>18</v>
      </c>
      <c r="C154" s="26"/>
      <c r="D154" s="60"/>
      <c r="E154" s="60">
        <f>643+300</f>
        <v>943</v>
      </c>
      <c r="F154" s="29" t="s">
        <v>175</v>
      </c>
      <c r="G154" s="29"/>
    </row>
    <row r="155" spans="1:7" ht="15" hidden="1">
      <c r="A155" s="14"/>
      <c r="B155" s="2" t="s">
        <v>22</v>
      </c>
      <c r="C155" s="26"/>
      <c r="D155" s="60"/>
      <c r="E155" s="60">
        <f>3877.31</f>
        <v>3877.31</v>
      </c>
      <c r="F155" s="29"/>
      <c r="G155" s="29"/>
    </row>
    <row r="156" spans="1:6" ht="15">
      <c r="A156" s="28" t="s">
        <v>96</v>
      </c>
      <c r="B156" s="13" t="s">
        <v>47</v>
      </c>
      <c r="C156" s="20"/>
      <c r="D156" s="75">
        <v>30000</v>
      </c>
      <c r="E156" s="75">
        <f>SUM(E157:E168)</f>
        <v>24851.52</v>
      </c>
      <c r="F156" s="75">
        <f>D156-E156</f>
        <v>5148.48</v>
      </c>
    </row>
    <row r="157" spans="1:7" ht="15" hidden="1">
      <c r="A157" s="14"/>
      <c r="B157" s="15" t="s">
        <v>8</v>
      </c>
      <c r="C157" s="46"/>
      <c r="D157" s="60"/>
      <c r="E157" s="60">
        <f>2600+1300.15</f>
        <v>3900.15</v>
      </c>
      <c r="F157" s="76" t="s">
        <v>176</v>
      </c>
      <c r="G157" s="12"/>
    </row>
    <row r="158" spans="1:6" ht="15" hidden="1">
      <c r="A158" s="14"/>
      <c r="B158" s="2" t="s">
        <v>9</v>
      </c>
      <c r="C158" s="26"/>
      <c r="D158" s="60"/>
      <c r="E158" s="60">
        <f>203</f>
        <v>203</v>
      </c>
      <c r="F158" s="76"/>
    </row>
    <row r="159" spans="1:7" ht="15" hidden="1">
      <c r="A159" s="14"/>
      <c r="B159" s="2" t="s">
        <v>10</v>
      </c>
      <c r="C159" s="26"/>
      <c r="D159" s="74"/>
      <c r="E159" s="74"/>
      <c r="F159" s="76"/>
      <c r="G159" s="12"/>
    </row>
    <row r="160" spans="1:7" ht="15" hidden="1">
      <c r="A160" s="14"/>
      <c r="B160" s="2" t="s">
        <v>11</v>
      </c>
      <c r="C160" s="26"/>
      <c r="D160" s="60"/>
      <c r="E160" s="60">
        <f>4600+174.4</f>
        <v>4774.4</v>
      </c>
      <c r="F160" s="76" t="s">
        <v>177</v>
      </c>
      <c r="G160" s="12"/>
    </row>
    <row r="161" spans="1:6" ht="15" hidden="1">
      <c r="A161" s="14"/>
      <c r="B161" s="2" t="s">
        <v>12</v>
      </c>
      <c r="C161" s="26"/>
      <c r="D161" s="60"/>
      <c r="E161" s="60">
        <f>900+2343.53</f>
        <v>3243.53</v>
      </c>
      <c r="F161" s="76" t="s">
        <v>171</v>
      </c>
    </row>
    <row r="162" spans="1:6" ht="15" hidden="1">
      <c r="A162" s="14"/>
      <c r="B162" s="2" t="s">
        <v>13</v>
      </c>
      <c r="C162" s="26"/>
      <c r="D162" s="60"/>
      <c r="E162" s="60">
        <f>59.9</f>
        <v>59.9</v>
      </c>
      <c r="F162" s="76"/>
    </row>
    <row r="163" spans="1:6" ht="15" hidden="1">
      <c r="A163" s="14"/>
      <c r="B163" s="2" t="s">
        <v>14</v>
      </c>
      <c r="C163" s="26"/>
      <c r="D163" s="60"/>
      <c r="E163" s="60">
        <f>460.8</f>
        <v>460.8</v>
      </c>
      <c r="F163" s="76"/>
    </row>
    <row r="164" spans="1:6" ht="15" hidden="1">
      <c r="A164" s="14"/>
      <c r="B164" s="2" t="s">
        <v>15</v>
      </c>
      <c r="C164" s="46"/>
      <c r="D164" s="60"/>
      <c r="E164" s="60">
        <f>139</f>
        <v>139</v>
      </c>
      <c r="F164" s="29"/>
    </row>
    <row r="165" spans="1:7" ht="16.5" customHeight="1" hidden="1">
      <c r="A165" s="14"/>
      <c r="B165" s="2" t="s">
        <v>16</v>
      </c>
      <c r="C165" s="26"/>
      <c r="D165" s="60"/>
      <c r="E165" s="60">
        <f>181</f>
        <v>181</v>
      </c>
      <c r="F165" s="77"/>
      <c r="G165" s="12"/>
    </row>
    <row r="166" spans="1:7" ht="15" hidden="1">
      <c r="A166" s="14"/>
      <c r="B166" s="2" t="s">
        <v>17</v>
      </c>
      <c r="C166" s="26"/>
      <c r="D166" s="60"/>
      <c r="E166" s="60">
        <f>792.6</f>
        <v>792.6</v>
      </c>
      <c r="F166" s="29"/>
      <c r="G166" s="12"/>
    </row>
    <row r="167" spans="1:7" ht="15" hidden="1">
      <c r="A167" s="14"/>
      <c r="B167" s="2" t="s">
        <v>18</v>
      </c>
      <c r="C167" s="26"/>
      <c r="D167" s="60"/>
      <c r="E167" s="60">
        <f>2094.3</f>
        <v>2094.3</v>
      </c>
      <c r="F167" s="76" t="s">
        <v>174</v>
      </c>
      <c r="G167" s="12"/>
    </row>
    <row r="168" spans="1:6" ht="15" hidden="1">
      <c r="A168" s="14"/>
      <c r="B168" s="2" t="s">
        <v>22</v>
      </c>
      <c r="C168" s="26"/>
      <c r="D168" s="60"/>
      <c r="E168" s="60">
        <f>1274.84+7728</f>
        <v>9002.84</v>
      </c>
      <c r="F168" s="76" t="s">
        <v>183</v>
      </c>
    </row>
    <row r="169" spans="1:6" ht="15">
      <c r="A169" s="28" t="s">
        <v>97</v>
      </c>
      <c r="B169" s="13" t="s">
        <v>73</v>
      </c>
      <c r="C169" s="20"/>
      <c r="D169" s="75">
        <v>14400</v>
      </c>
      <c r="E169" s="75">
        <f>13116+1200</f>
        <v>14316</v>
      </c>
      <c r="F169" s="75">
        <f aca="true" t="shared" si="0" ref="F169:F175">D169-E169</f>
        <v>84</v>
      </c>
    </row>
    <row r="170" spans="1:6" ht="15">
      <c r="A170" s="28" t="s">
        <v>98</v>
      </c>
      <c r="B170" s="13" t="s">
        <v>86</v>
      </c>
      <c r="C170" s="20"/>
      <c r="D170" s="75">
        <v>27000</v>
      </c>
      <c r="E170" s="75">
        <f>4200+1500+1500+6000</f>
        <v>13200</v>
      </c>
      <c r="F170" s="75">
        <f t="shared" si="0"/>
        <v>13800</v>
      </c>
    </row>
    <row r="171" spans="1:6" ht="15">
      <c r="A171" s="28" t="s">
        <v>99</v>
      </c>
      <c r="B171" s="13" t="s">
        <v>74</v>
      </c>
      <c r="C171" s="20"/>
      <c r="D171" s="75">
        <v>15600</v>
      </c>
      <c r="E171" s="75">
        <f>2300+5000</f>
        <v>7300</v>
      </c>
      <c r="F171" s="75">
        <f t="shared" si="0"/>
        <v>8300</v>
      </c>
    </row>
    <row r="172" spans="1:6" ht="15">
      <c r="A172" s="34" t="s">
        <v>100</v>
      </c>
      <c r="B172" s="22" t="s">
        <v>101</v>
      </c>
      <c r="C172" s="26"/>
      <c r="D172" s="78">
        <v>12000</v>
      </c>
      <c r="E172" s="79"/>
      <c r="F172" s="75">
        <f t="shared" si="0"/>
        <v>12000</v>
      </c>
    </row>
    <row r="173" spans="1:6" ht="15">
      <c r="A173" s="34" t="s">
        <v>142</v>
      </c>
      <c r="B173" s="22" t="s">
        <v>136</v>
      </c>
      <c r="C173" s="26"/>
      <c r="D173" s="78">
        <v>352008</v>
      </c>
      <c r="E173" s="80">
        <f>332855.67+33242.85</f>
        <v>366098.51999999996</v>
      </c>
      <c r="F173" s="75">
        <f t="shared" si="0"/>
        <v>-14090.51999999996</v>
      </c>
    </row>
    <row r="174" spans="1:6" ht="18.75">
      <c r="A174" s="34"/>
      <c r="B174" s="5" t="s">
        <v>5</v>
      </c>
      <c r="C174" s="26"/>
      <c r="D174" s="81">
        <f>SUM(D15:D173)</f>
        <v>3111528</v>
      </c>
      <c r="E174" s="81">
        <f>SUM(E15,E28,E41,E54,E55,E68,E81,E85,E98,E130,E143,E156,E169,E170,E171,E172,E173)</f>
        <v>2977806.02</v>
      </c>
      <c r="F174" s="75">
        <f t="shared" si="0"/>
        <v>133721.97999999998</v>
      </c>
    </row>
    <row r="175" spans="1:6" ht="15">
      <c r="A175" s="35" t="s">
        <v>143</v>
      </c>
      <c r="B175" s="13" t="s">
        <v>49</v>
      </c>
      <c r="C175" s="20"/>
      <c r="D175" s="62">
        <v>96000</v>
      </c>
      <c r="E175" s="62">
        <f>SUM(E176:E188)</f>
        <v>89770.14</v>
      </c>
      <c r="F175" s="62">
        <f t="shared" si="0"/>
        <v>6229.860000000001</v>
      </c>
    </row>
    <row r="176" spans="1:6" ht="15" hidden="1">
      <c r="A176" s="14"/>
      <c r="B176" s="15" t="s">
        <v>8</v>
      </c>
      <c r="C176" s="46"/>
      <c r="D176" s="27"/>
      <c r="E176" s="27">
        <f>7242.91-382.86+24</f>
        <v>6884.05</v>
      </c>
      <c r="F176" s="73"/>
    </row>
    <row r="177" spans="1:6" ht="15" hidden="1">
      <c r="A177" s="14"/>
      <c r="B177" s="2" t="s">
        <v>9</v>
      </c>
      <c r="C177" s="26"/>
      <c r="D177" s="27"/>
      <c r="E177" s="27">
        <f>7545.33-401.45+12</f>
        <v>7155.88</v>
      </c>
      <c r="F177" s="73"/>
    </row>
    <row r="178" spans="1:6" ht="15" hidden="1">
      <c r="A178" s="14"/>
      <c r="B178" s="2" t="s">
        <v>10</v>
      </c>
      <c r="C178" s="26"/>
      <c r="D178" s="27"/>
      <c r="E178" s="27">
        <f>7824.82-428.1+12</f>
        <v>7408.719999999999</v>
      </c>
      <c r="F178" s="73"/>
    </row>
    <row r="179" spans="1:6" ht="15" hidden="1">
      <c r="A179" s="14"/>
      <c r="B179" s="2" t="s">
        <v>11</v>
      </c>
      <c r="C179" s="26"/>
      <c r="D179" s="27"/>
      <c r="E179" s="27">
        <f>7829.55-410.97+12</f>
        <v>7430.58</v>
      </c>
      <c r="F179" s="73"/>
    </row>
    <row r="180" spans="1:6" ht="15" hidden="1">
      <c r="A180" s="14"/>
      <c r="B180" s="2" t="s">
        <v>12</v>
      </c>
      <c r="C180" s="26"/>
      <c r="D180" s="27"/>
      <c r="E180" s="27">
        <f>7144.34-385.2+12</f>
        <v>6771.14</v>
      </c>
      <c r="F180" s="73"/>
    </row>
    <row r="181" spans="1:6" ht="15" hidden="1">
      <c r="A181" s="14"/>
      <c r="B181" s="2" t="s">
        <v>13</v>
      </c>
      <c r="C181" s="26"/>
      <c r="D181" s="27"/>
      <c r="E181" s="27">
        <f>7963-440.36+12</f>
        <v>7534.64</v>
      </c>
      <c r="F181" s="73"/>
    </row>
    <row r="182" spans="1:6" ht="15" hidden="1">
      <c r="A182" s="14"/>
      <c r="B182" s="15" t="s">
        <v>14</v>
      </c>
      <c r="C182" s="46"/>
      <c r="D182" s="27"/>
      <c r="E182" s="27">
        <f>9035.83-493.1+12</f>
        <v>8554.73</v>
      </c>
      <c r="F182" s="73"/>
    </row>
    <row r="183" spans="1:6" ht="15" hidden="1">
      <c r="A183" s="14"/>
      <c r="B183" s="2" t="s">
        <v>15</v>
      </c>
      <c r="C183" s="26"/>
      <c r="D183" s="27"/>
      <c r="E183" s="27">
        <f>7449.06-394.8+12</f>
        <v>7066.26</v>
      </c>
      <c r="F183" s="73"/>
    </row>
    <row r="184" spans="1:6" ht="15" hidden="1">
      <c r="A184" s="14"/>
      <c r="B184" s="2" t="s">
        <v>16</v>
      </c>
      <c r="C184" s="26"/>
      <c r="D184" s="27"/>
      <c r="E184" s="27">
        <f>7943.42-422.85+12</f>
        <v>7532.57</v>
      </c>
      <c r="F184" s="73"/>
    </row>
    <row r="185" spans="1:6" ht="15" hidden="1">
      <c r="A185" s="14"/>
      <c r="B185" s="2" t="s">
        <v>17</v>
      </c>
      <c r="C185" s="26"/>
      <c r="D185" s="27"/>
      <c r="E185" s="27">
        <f>7733.58-400.2+12</f>
        <v>7345.38</v>
      </c>
      <c r="F185" s="73"/>
    </row>
    <row r="186" spans="1:6" ht="15" hidden="1">
      <c r="A186" s="14"/>
      <c r="B186" s="2" t="s">
        <v>18</v>
      </c>
      <c r="C186" s="26"/>
      <c r="D186" s="27"/>
      <c r="E186" s="27">
        <f>8033.63-430.48+12</f>
        <v>7615.15</v>
      </c>
      <c r="F186" s="73"/>
    </row>
    <row r="187" spans="1:6" ht="15" hidden="1">
      <c r="A187" s="14"/>
      <c r="B187" s="2" t="s">
        <v>22</v>
      </c>
      <c r="C187" s="26"/>
      <c r="D187" s="27"/>
      <c r="E187" s="27">
        <f>8961.24-502.2+12</f>
        <v>8471.039999999999</v>
      </c>
      <c r="F187" s="73"/>
    </row>
    <row r="188" spans="1:6" ht="15.75">
      <c r="A188" s="14"/>
      <c r="B188" s="9"/>
      <c r="C188" s="26"/>
      <c r="D188" s="60"/>
      <c r="E188" s="60"/>
      <c r="F188" s="61"/>
    </row>
    <row r="189" spans="1:6" ht="15.75">
      <c r="A189" s="14"/>
      <c r="B189" s="9" t="s">
        <v>51</v>
      </c>
      <c r="C189" s="49"/>
      <c r="D189" s="60"/>
      <c r="E189" s="60"/>
      <c r="F189" s="61"/>
    </row>
    <row r="190" spans="1:6" ht="15">
      <c r="A190" s="107" t="s">
        <v>102</v>
      </c>
      <c r="B190" s="13" t="s">
        <v>52</v>
      </c>
      <c r="C190" s="20"/>
      <c r="D190" s="62">
        <f>SUM(D191:D195)</f>
        <v>57000</v>
      </c>
      <c r="E190" s="62">
        <f>SUM(E191:E195)</f>
        <v>67547</v>
      </c>
      <c r="F190" s="62">
        <f>D190-E190</f>
        <v>-10547</v>
      </c>
    </row>
    <row r="191" spans="1:6" ht="63">
      <c r="A191" s="103" t="s">
        <v>103</v>
      </c>
      <c r="B191" s="102" t="s">
        <v>158</v>
      </c>
      <c r="C191" s="26"/>
      <c r="D191" s="104">
        <v>12000</v>
      </c>
      <c r="E191" s="27">
        <f>6200+6357+2158.74+10233.11+287+2431.54</f>
        <v>27667.39</v>
      </c>
      <c r="F191" s="66" t="s">
        <v>179</v>
      </c>
    </row>
    <row r="192" spans="1:7" ht="47.25" customHeight="1">
      <c r="A192" s="103" t="s">
        <v>104</v>
      </c>
      <c r="B192" s="102" t="s">
        <v>159</v>
      </c>
      <c r="C192" s="26"/>
      <c r="D192" s="104">
        <v>14400</v>
      </c>
      <c r="E192" s="27">
        <f>906.32+27900</f>
        <v>28806.32</v>
      </c>
      <c r="F192" s="40" t="s">
        <v>182</v>
      </c>
      <c r="G192" s="12"/>
    </row>
    <row r="193" spans="1:9" ht="31.5">
      <c r="A193" s="103" t="s">
        <v>105</v>
      </c>
      <c r="B193" s="102" t="s">
        <v>108</v>
      </c>
      <c r="C193" s="50"/>
      <c r="D193" s="105">
        <v>1800</v>
      </c>
      <c r="E193" s="82">
        <f>980</f>
        <v>980</v>
      </c>
      <c r="F193" s="32"/>
      <c r="G193" s="12"/>
      <c r="I193" s="12"/>
    </row>
    <row r="194" spans="1:7" ht="48" customHeight="1">
      <c r="A194" s="103" t="s">
        <v>106</v>
      </c>
      <c r="B194" s="102" t="s">
        <v>152</v>
      </c>
      <c r="C194" s="50"/>
      <c r="D194" s="105">
        <v>16800</v>
      </c>
      <c r="E194" s="82">
        <f>10093.29</f>
        <v>10093.29</v>
      </c>
      <c r="F194" s="31"/>
      <c r="G194" s="12"/>
    </row>
    <row r="195" spans="1:7" ht="51" customHeight="1">
      <c r="A195" s="103" t="s">
        <v>107</v>
      </c>
      <c r="B195" s="102" t="s">
        <v>160</v>
      </c>
      <c r="C195" s="50"/>
      <c r="D195" s="105">
        <v>12000</v>
      </c>
      <c r="E195" s="82"/>
      <c r="F195" s="83"/>
      <c r="G195" s="12"/>
    </row>
    <row r="196" spans="1:6" ht="15">
      <c r="A196" s="28" t="s">
        <v>109</v>
      </c>
      <c r="B196" s="16" t="s">
        <v>53</v>
      </c>
      <c r="C196" s="47"/>
      <c r="D196" s="62">
        <f>SUM(D197:D199)</f>
        <v>24900</v>
      </c>
      <c r="E196" s="62">
        <f>SUM(E197:E199)</f>
        <v>3203</v>
      </c>
      <c r="F196" s="62">
        <f>D196-E196</f>
        <v>21697</v>
      </c>
    </row>
    <row r="197" spans="1:7" ht="47.25">
      <c r="A197" s="103" t="s">
        <v>110</v>
      </c>
      <c r="B197" s="102" t="s">
        <v>75</v>
      </c>
      <c r="C197" s="50"/>
      <c r="D197" s="106">
        <v>2400</v>
      </c>
      <c r="E197" s="85"/>
      <c r="F197" s="38"/>
      <c r="G197" s="12"/>
    </row>
    <row r="198" spans="1:7" ht="78.75">
      <c r="A198" s="103" t="s">
        <v>111</v>
      </c>
      <c r="B198" s="102" t="s">
        <v>76</v>
      </c>
      <c r="C198" s="50"/>
      <c r="D198" s="106">
        <v>3600</v>
      </c>
      <c r="E198" s="84">
        <f>2754.68</f>
        <v>2754.68</v>
      </c>
      <c r="F198" s="76"/>
      <c r="G198" s="12"/>
    </row>
    <row r="199" spans="1:7" ht="31.5">
      <c r="A199" s="103" t="s">
        <v>112</v>
      </c>
      <c r="B199" s="102" t="s">
        <v>113</v>
      </c>
      <c r="C199" s="50"/>
      <c r="D199" s="106">
        <v>18900</v>
      </c>
      <c r="E199" s="85">
        <v>448.32</v>
      </c>
      <c r="F199" s="76"/>
      <c r="G199" s="12"/>
    </row>
    <row r="200" spans="1:7" ht="15">
      <c r="A200" s="28" t="s">
        <v>114</v>
      </c>
      <c r="B200" s="16" t="s">
        <v>54</v>
      </c>
      <c r="C200" s="47"/>
      <c r="D200" s="86">
        <f>SUM(D201:D208)</f>
        <v>234408</v>
      </c>
      <c r="E200" s="86">
        <f>SUM(E201:E208)</f>
        <v>384889.06</v>
      </c>
      <c r="F200" s="75">
        <f>D200-E200</f>
        <v>-150481.06</v>
      </c>
      <c r="G200" s="12"/>
    </row>
    <row r="201" spans="1:7" ht="15.75">
      <c r="A201" s="103" t="s">
        <v>115</v>
      </c>
      <c r="B201" s="102" t="s">
        <v>164</v>
      </c>
      <c r="C201" s="50"/>
      <c r="D201" s="84">
        <v>17940</v>
      </c>
      <c r="E201" s="85">
        <f>10550</f>
        <v>10550</v>
      </c>
      <c r="F201" s="38"/>
      <c r="G201" s="12"/>
    </row>
    <row r="202" spans="1:6" ht="48" customHeight="1">
      <c r="A202" s="103" t="s">
        <v>116</v>
      </c>
      <c r="B202" s="102" t="s">
        <v>154</v>
      </c>
      <c r="C202" s="50"/>
      <c r="D202" s="84">
        <v>150860</v>
      </c>
      <c r="E202" s="85">
        <f>23388+1152+115260+6447.16+20833.6</f>
        <v>167080.76</v>
      </c>
      <c r="F202" s="38"/>
    </row>
    <row r="203" spans="1:9" ht="31.5">
      <c r="A203" s="103" t="s">
        <v>117</v>
      </c>
      <c r="B203" s="102" t="s">
        <v>178</v>
      </c>
      <c r="C203" s="50"/>
      <c r="D203" s="84">
        <v>4800</v>
      </c>
      <c r="E203" s="85">
        <f>6675</f>
        <v>6675</v>
      </c>
      <c r="F203" s="31"/>
      <c r="G203" s="12"/>
      <c r="I203" s="12"/>
    </row>
    <row r="204" spans="1:7" ht="31.5">
      <c r="A204" s="103" t="s">
        <v>118</v>
      </c>
      <c r="B204" s="102" t="s">
        <v>77</v>
      </c>
      <c r="C204" s="50"/>
      <c r="D204" s="84">
        <v>1800</v>
      </c>
      <c r="E204" s="85"/>
      <c r="F204" s="40"/>
      <c r="G204" s="12"/>
    </row>
    <row r="205" spans="1:6" ht="31.5">
      <c r="A205" s="103" t="s">
        <v>119</v>
      </c>
      <c r="B205" s="102" t="s">
        <v>165</v>
      </c>
      <c r="C205" s="50"/>
      <c r="D205" s="84">
        <v>42808</v>
      </c>
      <c r="E205" s="85">
        <f>200583.3</f>
        <v>200583.3</v>
      </c>
      <c r="F205" s="38"/>
    </row>
    <row r="206" spans="1:6" ht="15.75">
      <c r="A206" s="103" t="s">
        <v>120</v>
      </c>
      <c r="B206" s="102" t="s">
        <v>63</v>
      </c>
      <c r="C206" s="50"/>
      <c r="D206" s="84">
        <v>3000</v>
      </c>
      <c r="E206" s="85"/>
      <c r="F206" s="38"/>
    </row>
    <row r="207" spans="1:9" ht="15.75">
      <c r="A207" s="103" t="s">
        <v>121</v>
      </c>
      <c r="B207" s="102" t="s">
        <v>166</v>
      </c>
      <c r="C207" s="50"/>
      <c r="D207" s="84">
        <v>13200</v>
      </c>
      <c r="E207" s="85"/>
      <c r="F207" s="38"/>
      <c r="G207" s="37"/>
      <c r="I207" s="12"/>
    </row>
    <row r="208" spans="1:7" ht="15">
      <c r="A208" s="14"/>
      <c r="B208" s="21"/>
      <c r="C208" s="50"/>
      <c r="D208" s="84"/>
      <c r="E208" s="85"/>
      <c r="F208" s="76"/>
      <c r="G208" s="12"/>
    </row>
    <row r="209" spans="1:6" ht="15">
      <c r="A209" s="28" t="s">
        <v>122</v>
      </c>
      <c r="B209" s="16" t="s">
        <v>55</v>
      </c>
      <c r="C209" s="47"/>
      <c r="D209" s="86">
        <f>SUM(D210:D220)</f>
        <v>197264</v>
      </c>
      <c r="E209" s="86">
        <f>SUM(E210:E221)</f>
        <v>142786.82</v>
      </c>
      <c r="F209" s="75">
        <f>D209-E209</f>
        <v>54477.17999999999</v>
      </c>
    </row>
    <row r="210" spans="1:12" ht="31.5">
      <c r="A210" s="103" t="s">
        <v>123</v>
      </c>
      <c r="B210" s="102" t="s">
        <v>161</v>
      </c>
      <c r="C210" s="50"/>
      <c r="D210" s="84">
        <v>49920</v>
      </c>
      <c r="E210" s="87"/>
      <c r="F210" s="88"/>
      <c r="I210" s="12"/>
      <c r="L210" s="12"/>
    </row>
    <row r="211" spans="1:10" ht="28.5" customHeight="1">
      <c r="A211" s="103" t="s">
        <v>124</v>
      </c>
      <c r="B211" s="102" t="s">
        <v>162</v>
      </c>
      <c r="C211" s="50"/>
      <c r="D211" s="84">
        <v>9600</v>
      </c>
      <c r="E211" s="85">
        <f>1500</f>
        <v>1500</v>
      </c>
      <c r="F211" s="88"/>
      <c r="G211" s="12"/>
      <c r="H211" s="12"/>
      <c r="J211" s="12"/>
    </row>
    <row r="212" spans="1:10" ht="15.75">
      <c r="A212" s="103" t="s">
        <v>125</v>
      </c>
      <c r="B212" s="102" t="s">
        <v>64</v>
      </c>
      <c r="C212" s="50"/>
      <c r="D212" s="84">
        <v>1800</v>
      </c>
      <c r="E212" s="85"/>
      <c r="F212" s="88"/>
      <c r="H212" s="12"/>
      <c r="J212" s="12"/>
    </row>
    <row r="213" spans="1:10" ht="46.5" customHeight="1">
      <c r="A213" s="103" t="s">
        <v>126</v>
      </c>
      <c r="B213" s="102" t="s">
        <v>81</v>
      </c>
      <c r="C213" s="50"/>
      <c r="D213" s="84">
        <v>2208</v>
      </c>
      <c r="E213" s="85">
        <f>570</f>
        <v>570</v>
      </c>
      <c r="F213" s="88"/>
      <c r="H213" s="12"/>
      <c r="J213" s="12"/>
    </row>
    <row r="214" spans="1:10" ht="31.5">
      <c r="A214" s="103" t="s">
        <v>127</v>
      </c>
      <c r="B214" s="102" t="s">
        <v>163</v>
      </c>
      <c r="C214" s="50"/>
      <c r="D214" s="84">
        <v>30000</v>
      </c>
      <c r="E214" s="85">
        <f>22183.41+23530.97</f>
        <v>45714.380000000005</v>
      </c>
      <c r="F214" s="88"/>
      <c r="G214" s="12"/>
      <c r="J214" s="12"/>
    </row>
    <row r="215" spans="1:6" ht="47.25">
      <c r="A215" s="103" t="s">
        <v>128</v>
      </c>
      <c r="B215" s="102" t="s">
        <v>68</v>
      </c>
      <c r="C215" s="50"/>
      <c r="D215" s="84">
        <v>5400</v>
      </c>
      <c r="E215" s="85">
        <f>2137.44</f>
        <v>2137.44</v>
      </c>
      <c r="F215" s="88"/>
    </row>
    <row r="216" spans="1:7" ht="15.75">
      <c r="A216" s="103" t="s">
        <v>129</v>
      </c>
      <c r="B216" s="102" t="s">
        <v>57</v>
      </c>
      <c r="C216" s="50"/>
      <c r="D216" s="84">
        <v>2400</v>
      </c>
      <c r="E216" s="85">
        <f>324+1714</f>
        <v>2038</v>
      </c>
      <c r="F216" s="88"/>
      <c r="G216" s="12"/>
    </row>
    <row r="217" spans="1:8" ht="15.75">
      <c r="A217" s="103" t="s">
        <v>130</v>
      </c>
      <c r="B217" s="102" t="s">
        <v>58</v>
      </c>
      <c r="C217" s="50"/>
      <c r="D217" s="84">
        <v>1200</v>
      </c>
      <c r="E217" s="85">
        <f>591</f>
        <v>591</v>
      </c>
      <c r="F217" s="40"/>
      <c r="H217" s="12"/>
    </row>
    <row r="218" spans="1:6" ht="15.75">
      <c r="A218" s="103" t="s">
        <v>131</v>
      </c>
      <c r="B218" s="102" t="s">
        <v>56</v>
      </c>
      <c r="C218" s="50"/>
      <c r="D218" s="84">
        <v>4500</v>
      </c>
      <c r="E218" s="85"/>
      <c r="F218" s="30"/>
    </row>
    <row r="219" spans="1:6" ht="15">
      <c r="A219" s="34" t="s">
        <v>132</v>
      </c>
      <c r="B219" s="21" t="s">
        <v>167</v>
      </c>
      <c r="C219" s="50"/>
      <c r="D219" s="84">
        <v>90236</v>
      </c>
      <c r="E219" s="85">
        <f>30000+30000+30236</f>
        <v>90236</v>
      </c>
      <c r="F219" s="89"/>
    </row>
    <row r="220" spans="1:6" ht="15">
      <c r="A220" s="14"/>
      <c r="B220" s="10"/>
      <c r="C220" s="50"/>
      <c r="D220" s="84"/>
      <c r="E220" s="85"/>
      <c r="F220" s="89"/>
    </row>
    <row r="221" spans="1:6" ht="15">
      <c r="A221" s="14"/>
      <c r="B221" s="21"/>
      <c r="C221" s="50"/>
      <c r="D221" s="84"/>
      <c r="E221" s="85"/>
      <c r="F221" s="76"/>
    </row>
    <row r="222" spans="1:6" ht="30">
      <c r="A222" s="34" t="s">
        <v>134</v>
      </c>
      <c r="B222" s="36" t="s">
        <v>133</v>
      </c>
      <c r="C222" s="50"/>
      <c r="D222" s="90">
        <v>416040</v>
      </c>
      <c r="E222" s="90">
        <f>SUM(E223:E225)</f>
        <v>303540.06999999995</v>
      </c>
      <c r="F222" s="75">
        <f>D222-E222</f>
        <v>112499.93000000005</v>
      </c>
    </row>
    <row r="223" spans="1:6" ht="15">
      <c r="A223" s="34"/>
      <c r="B223" s="21" t="s">
        <v>146</v>
      </c>
      <c r="C223" s="50"/>
      <c r="D223" s="90"/>
      <c r="E223" s="85">
        <v>30154.49</v>
      </c>
      <c r="F223" s="75"/>
    </row>
    <row r="224" spans="1:6" ht="15">
      <c r="A224" s="34"/>
      <c r="B224" s="21" t="s">
        <v>147</v>
      </c>
      <c r="C224" s="50"/>
      <c r="D224" s="90"/>
      <c r="E224" s="84">
        <f>128930.8+10000</f>
        <v>138930.8</v>
      </c>
      <c r="F224" s="75"/>
    </row>
    <row r="225" spans="1:6" ht="15">
      <c r="A225" s="34"/>
      <c r="B225" s="21" t="s">
        <v>148</v>
      </c>
      <c r="C225" s="50"/>
      <c r="D225" s="90"/>
      <c r="E225" s="85">
        <f>96361.78+38093</f>
        <v>134454.78</v>
      </c>
      <c r="F225" s="75"/>
    </row>
    <row r="226" spans="1:6" ht="26.25">
      <c r="A226" s="28" t="s">
        <v>135</v>
      </c>
      <c r="B226" s="16" t="s">
        <v>65</v>
      </c>
      <c r="C226" s="47"/>
      <c r="D226" s="86">
        <v>18000</v>
      </c>
      <c r="E226" s="86">
        <f>6000+609.6+3603.02</f>
        <v>10212.62</v>
      </c>
      <c r="F226" s="75">
        <f>D226-E226</f>
        <v>7787.379999999999</v>
      </c>
    </row>
    <row r="227" spans="1:6" ht="15">
      <c r="A227" s="28" t="s">
        <v>168</v>
      </c>
      <c r="B227" s="16" t="s">
        <v>60</v>
      </c>
      <c r="C227" s="47"/>
      <c r="D227" s="86">
        <v>29140.62</v>
      </c>
      <c r="E227" s="86">
        <f>SUM(E228:E233)</f>
        <v>238472.01</v>
      </c>
      <c r="F227" s="75">
        <f>D227-E227</f>
        <v>-209331.39</v>
      </c>
    </row>
    <row r="228" spans="1:6" ht="15">
      <c r="A228" s="2"/>
      <c r="B228" s="21" t="s">
        <v>149</v>
      </c>
      <c r="C228" s="26"/>
      <c r="D228" s="84"/>
      <c r="E228" s="87">
        <v>16.76</v>
      </c>
      <c r="F228" s="91"/>
    </row>
    <row r="229" spans="1:6" ht="15">
      <c r="A229" s="2"/>
      <c r="B229" s="21" t="s">
        <v>153</v>
      </c>
      <c r="C229" s="26"/>
      <c r="D229" s="84"/>
      <c r="E229" s="87">
        <f>2828.25</f>
        <v>2828.25</v>
      </c>
      <c r="F229" s="92"/>
    </row>
    <row r="230" spans="1:6" ht="15">
      <c r="A230" s="2"/>
      <c r="B230" s="2" t="s">
        <v>184</v>
      </c>
      <c r="C230" s="26"/>
      <c r="D230" s="84"/>
      <c r="E230" s="87">
        <v>235627</v>
      </c>
      <c r="F230" s="91"/>
    </row>
    <row r="231" spans="1:6" ht="15">
      <c r="A231" s="2"/>
      <c r="B231" s="2"/>
      <c r="C231" s="26"/>
      <c r="D231" s="84"/>
      <c r="E231" s="87"/>
      <c r="F231" s="91"/>
    </row>
    <row r="232" spans="1:6" ht="15">
      <c r="A232" s="2"/>
      <c r="B232" s="21"/>
      <c r="C232" s="26"/>
      <c r="D232" s="84"/>
      <c r="E232" s="87"/>
      <c r="F232" s="39"/>
    </row>
    <row r="233" spans="1:6" ht="15">
      <c r="A233" s="2"/>
      <c r="B233" s="21"/>
      <c r="C233" s="26"/>
      <c r="D233" s="84"/>
      <c r="E233" s="87"/>
      <c r="F233" s="39"/>
    </row>
    <row r="234" spans="1:6" ht="13.5" customHeight="1">
      <c r="A234" s="2"/>
      <c r="B234" s="22" t="s">
        <v>83</v>
      </c>
      <c r="C234" s="26"/>
      <c r="D234" s="84"/>
      <c r="E234" s="93">
        <f>SUM(E235:E241)</f>
        <v>0</v>
      </c>
      <c r="F234" s="94"/>
    </row>
    <row r="235" spans="1:6" ht="15" hidden="1">
      <c r="A235" s="2"/>
      <c r="B235" s="21"/>
      <c r="C235" s="26"/>
      <c r="D235" s="84"/>
      <c r="E235" s="87"/>
      <c r="F235" s="94"/>
    </row>
    <row r="236" spans="1:6" ht="15" hidden="1">
      <c r="A236" s="2"/>
      <c r="B236" s="21"/>
      <c r="C236" s="26"/>
      <c r="D236" s="84"/>
      <c r="E236" s="87"/>
      <c r="F236" s="94"/>
    </row>
    <row r="237" spans="1:6" ht="15" hidden="1">
      <c r="A237" s="2"/>
      <c r="B237" s="21"/>
      <c r="C237" s="26"/>
      <c r="D237" s="84"/>
      <c r="E237" s="87"/>
      <c r="F237" s="94"/>
    </row>
    <row r="238" spans="1:6" ht="15" hidden="1">
      <c r="A238" s="2"/>
      <c r="B238" s="21"/>
      <c r="C238" s="26"/>
      <c r="D238" s="84"/>
      <c r="E238" s="87"/>
      <c r="F238" s="94"/>
    </row>
    <row r="239" spans="1:6" ht="15" hidden="1">
      <c r="A239" s="2"/>
      <c r="B239" s="21"/>
      <c r="C239" s="26"/>
      <c r="D239" s="84"/>
      <c r="E239" s="87"/>
      <c r="F239" s="94"/>
    </row>
    <row r="240" spans="1:6" ht="15" hidden="1">
      <c r="A240" s="2"/>
      <c r="B240" s="21"/>
      <c r="C240" s="26"/>
      <c r="D240" s="84"/>
      <c r="E240" s="95"/>
      <c r="F240" s="94"/>
    </row>
    <row r="241" spans="1:6" ht="15" hidden="1">
      <c r="A241" s="2"/>
      <c r="B241" s="21"/>
      <c r="C241" s="26"/>
      <c r="D241" s="84"/>
      <c r="E241" s="95"/>
      <c r="F241" s="94"/>
    </row>
    <row r="242" spans="1:6" ht="15">
      <c r="A242" s="3"/>
      <c r="B242" s="3" t="s">
        <v>145</v>
      </c>
      <c r="C242" s="19"/>
      <c r="D242" s="96"/>
      <c r="E242" s="96">
        <f>E227+E226+E209+E200+E196+E190+E171+E170+E169+E156+E143+E130+E98+E85+E81+E68+E41+E28+E15+E234+E54+E55+E222+E172+E173</f>
        <v>4128456.5999999996</v>
      </c>
      <c r="F242" s="51"/>
    </row>
    <row r="243" spans="1:6" ht="18">
      <c r="A243" s="2"/>
      <c r="B243" s="17" t="s">
        <v>5</v>
      </c>
      <c r="C243" s="26"/>
      <c r="D243" s="97"/>
      <c r="E243" s="110">
        <f>SUM(E242:E242)</f>
        <v>4128456.5999999996</v>
      </c>
      <c r="F243" s="94"/>
    </row>
    <row r="245" spans="2:6" ht="15">
      <c r="B245" t="s">
        <v>61</v>
      </c>
      <c r="F245" s="100">
        <v>1243.15</v>
      </c>
    </row>
    <row r="247" spans="2:6" ht="15">
      <c r="B247" t="s">
        <v>62</v>
      </c>
      <c r="F247" s="18" t="s">
        <v>71</v>
      </c>
    </row>
    <row r="249" spans="2:4" ht="18.75">
      <c r="B249" t="s">
        <v>180</v>
      </c>
      <c r="D249" s="108">
        <v>2765194.55</v>
      </c>
    </row>
  </sheetData>
  <sheetProtection/>
  <mergeCells count="3">
    <mergeCell ref="A1:F1"/>
    <mergeCell ref="A2:B2"/>
    <mergeCell ref="D2:F2"/>
  </mergeCells>
  <printOptions/>
  <pageMargins left="0.6299212598425197" right="0.2362204724409449" top="0.5" bottom="0.27" header="0.31496062992125984" footer="0.2"/>
  <pageSetup fitToHeight="0" fitToWidth="1" horizontalDpi="600" verticalDpi="600" orientation="portrait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</dc:creator>
  <cp:keywords/>
  <dc:description/>
  <cp:lastModifiedBy>Пользователь</cp:lastModifiedBy>
  <cp:lastPrinted>2018-12-14T07:34:55Z</cp:lastPrinted>
  <dcterms:created xsi:type="dcterms:W3CDTF">2013-07-31T08:55:04Z</dcterms:created>
  <dcterms:modified xsi:type="dcterms:W3CDTF">2019-03-11T12:11:46Z</dcterms:modified>
  <cp:category/>
  <cp:version/>
  <cp:contentType/>
  <cp:contentStatus/>
</cp:coreProperties>
</file>